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45" windowWidth="19020" windowHeight="10650" tabRatio="625"/>
  </bookViews>
  <sheets>
    <sheet name="2011 (в печать )" sheetId="4" r:id="rId1"/>
    <sheet name="2011" sheetId="1" r:id="rId2"/>
    <sheet name="восст. по проверкам прошлых лет" sheetId="2" r:id="rId3"/>
    <sheet name="по участникам" sheetId="3" r:id="rId4"/>
    <sheet name="Лист2" sheetId="5" r:id="rId5"/>
  </sheets>
  <definedNames>
    <definedName name="_xlnm._FilterDatabase" localSheetId="3" hidden="1">'по участникам'!$A$11:$W$57</definedName>
    <definedName name="Z_1542A29D_0DAE_458A_9A07_59A263A578DE_.wvu.FilterData" localSheetId="3" hidden="1">'по участникам'!$A$11:$W$57</definedName>
    <definedName name="Z_389735FE_414E_4CFC_9E6A_1AAFE3243A62_.wvu.FilterData" localSheetId="3" hidden="1">'по участникам'!$A$11:$W$57</definedName>
    <definedName name="Z_5F1104AE_D34D_48F2_9913_1B1F87925BFA_.wvu.FilterData" localSheetId="3" hidden="1">'по участникам'!$A$11:$W$47</definedName>
    <definedName name="Z_75A38EB3_18A1_4AB6_AC24_AE9FA6A077EC_.wvu.FilterData" localSheetId="3" hidden="1">'по участникам'!$A$11:$W$57</definedName>
    <definedName name="Z_7FBBF0F2_A261_44C7_B144_E52BBCB2C578_.wvu.Cols" localSheetId="2" hidden="1">'восст. по проверкам прошлых лет'!$F:$R</definedName>
    <definedName name="Z_7FBBF0F2_A261_44C7_B144_E52BBCB2C578_.wvu.FilterData" localSheetId="3" hidden="1">'по участникам'!$A$11:$W$57</definedName>
    <definedName name="Z_8E945A89_5382_4647_8220_0765DB0C2726_.wvu.FilterData" localSheetId="3" hidden="1">'по участникам'!$A$11:$W$47</definedName>
    <definedName name="Z_8F544DCB_5A6C_44CE_8C2A_87553A2A94E8_.wvu.FilterData" localSheetId="3" hidden="1">'по участникам'!$A$11:$W$57</definedName>
    <definedName name="Z_9527BC31_5AA4_4529_989B_DC3C25372E22_.wvu.FilterData" localSheetId="3" hidden="1">'по участникам'!$A$11:$W$57</definedName>
    <definedName name="Z_9527BC31_5AA4_4529_989B_DC3C25372E22_.wvu.PrintArea" localSheetId="1" hidden="1">'2011'!$B$6:$W$23</definedName>
    <definedName name="Z_9527BC31_5AA4_4529_989B_DC3C25372E22_.wvu.PrintArea" localSheetId="0" hidden="1">'2011 (в печать )'!$B$6:$W$23</definedName>
    <definedName name="Z_96D40A43_B422_454D_9193_41896328F0D9_.wvu.FilterData" localSheetId="3" hidden="1">'по участникам'!$A$11:$W$57</definedName>
    <definedName name="Z_A87BB08A_60E8_4759_B070_6FD51AFEB825_.wvu.FilterData" localSheetId="3" hidden="1">'по участникам'!$A$11:$W$47</definedName>
    <definedName name="Z_A8ABFFD1_522C_4CFD_BCF6_18D62DEFABFD_.wvu.FilterData" localSheetId="3" hidden="1">'по участникам'!$A$11:$W$47</definedName>
    <definedName name="Z_AFD6FBE8_CAD5_4263_8CED_2A4102C96587_.wvu.FilterData" localSheetId="3" hidden="1">'по участникам'!$A$11:$W$47</definedName>
    <definedName name="Z_BEC093EF_36E8_44C9_B149_04F53FD388A3_.wvu.FilterData" localSheetId="3" hidden="1">'по участникам'!$A$11:$W$57</definedName>
    <definedName name="Z_BEC093EF_36E8_44C9_B149_04F53FD388A3_.wvu.PrintArea" localSheetId="1" hidden="1">'2011'!$B$1:$W$23</definedName>
    <definedName name="Z_BEC093EF_36E8_44C9_B149_04F53FD388A3_.wvu.PrintArea" localSheetId="0" hidden="1">'2011 (в печать )'!$B$1:$W$23</definedName>
    <definedName name="Z_BEC093EF_36E8_44C9_B149_04F53FD388A3_.wvu.PrintArea" localSheetId="2" hidden="1">'восст. по проверкам прошлых лет'!$A$1:$S$14</definedName>
    <definedName name="Z_BEC093EF_36E8_44C9_B149_04F53FD388A3_.wvu.PrintTitles" localSheetId="1" hidden="1">'2011'!$10:$13</definedName>
    <definedName name="Z_BEC093EF_36E8_44C9_B149_04F53FD388A3_.wvu.PrintTitles" localSheetId="0" hidden="1">'2011 (в печать )'!$10:$13</definedName>
    <definedName name="Z_BEC093EF_36E8_44C9_B149_04F53FD388A3_.wvu.Rows" localSheetId="1" hidden="1">'2011'!$4:$5</definedName>
    <definedName name="Z_BEC093EF_36E8_44C9_B149_04F53FD388A3_.wvu.Rows" localSheetId="0" hidden="1">'2011 (в печать )'!$4:$5</definedName>
    <definedName name="Z_F4BCBCE8_6356_490E_9DC6_0825E427E254_.wvu.FilterData" localSheetId="3" hidden="1">'по участникам'!$A$11:$W$47</definedName>
    <definedName name="_xlnm.Print_Area" localSheetId="2">'восст. по проверкам прошлых лет'!$A$1:$S$15</definedName>
    <definedName name="ССМП">'по участникам'!$J$19</definedName>
  </definedNames>
  <calcPr calcId="125725"/>
  <customWorkbookViews>
    <customWorkbookView name="Конс1 - Личное представление" guid="{BEC093EF-36E8-44C9-B149-04F53FD388A3}" mergeInterval="0" personalView="1" maximized="1" xWindow="1" yWindow="1" windowWidth="1280" windowHeight="803" tabRatio="625" activeSheetId="2"/>
    <customWorkbookView name="Заместитель - Личное представление" guid="{96D40A43-B422-454D-9193-41896328F0D9}" mergeInterval="0" personalView="1" xWindow="12" yWindow="33" windowWidth="1260" windowHeight="676" tabRatio="625" activeSheetId="1"/>
    <customWorkbookView name="1 - Личное представление" guid="{389735FE-414E-4CFC-9E6A-1AAFE3243A62}" mergeInterval="0" personalView="1" maximized="1" xWindow="1" yWindow="1" windowWidth="1280" windowHeight="804" tabRatio="625" activeSheetId="3"/>
    <customWorkbookView name="USER - Личное представление" guid="{6557F67F-C411-409D-AE9A-18DDDFEDC41D}" mergeInterval="0" personalView="1" maximized="1" windowWidth="1276" windowHeight="878" tabRatio="625" activeSheetId="1"/>
    <customWorkbookView name="Аудитор2 - Личное представление" guid="{FF839B6C-BA2D-4680-A166-F460250E87A6}" mergeInterval="0" personalView="1" maximized="1" windowWidth="1276" windowHeight="848" tabRatio="625" activeSheetId="10"/>
    <customWorkbookView name="спец1 - Личное представление" guid="{83D937AD-6116-4BB5-8C5F-B65EF530F877}" mergeInterval="0" personalView="1" maximized="1" windowWidth="1020" windowHeight="596" tabRatio="625" activeSheetId="6"/>
    <customWorkbookView name="Аудитор3 - Личное представление" guid="{52EE5419-B9BD-4AC9-9F07-E6B44E231595}" mergeInterval="0" personalView="1" maximized="1" windowWidth="1032" windowHeight="874" tabRatio="625" activeSheetId="2"/>
    <customWorkbookView name="Аудитор1 - Личное представление" guid="{567D9E45-2DC8-4DED-AE14-FF55C2F6A350}" mergeInterval="0" personalView="1" maximized="1" windowWidth="1276" windowHeight="848" tabRatio="625" activeSheetId="2"/>
    <customWorkbookView name="cons - Личное представление" guid="{A8ABFFD1-522C-4CFD-BCF6-18D62DEFABFD}" mergeInterval="0" personalView="1" maximized="1" xWindow="1" yWindow="1" windowWidth="1152" windowHeight="617" tabRatio="625" activeSheetId="3"/>
    <customWorkbookView name="Аудитор4 - Личное представление" guid="{9527BC31-5AA4-4529-989B-DC3C25372E22}" mergeInterval="0" personalView="1" maximized="1" xWindow="1" yWindow="1" windowWidth="1280" windowHeight="738" tabRatio="625" activeSheetId="1"/>
    <customWorkbookView name="Аудитор 2 - Личное представление" guid="{7FBBF0F2-A261-44C7-B144-E52BBCB2C578}" mergeInterval="0" personalView="1" maximized="1" xWindow="1" yWindow="1" windowWidth="1280" windowHeight="803" tabRatio="625" activeSheetId="2" showComments="commIndAndComment"/>
  </customWorkbookViews>
</workbook>
</file>

<file path=xl/calcChain.xml><?xml version="1.0" encoding="utf-8"?>
<calcChain xmlns="http://schemas.openxmlformats.org/spreadsheetml/2006/main">
  <c r="J19" i="4"/>
  <c r="G47" i="3"/>
  <c r="H23" i="1"/>
  <c r="G23"/>
  <c r="J21" i="4"/>
  <c r="W19"/>
  <c r="U18"/>
  <c r="T18"/>
  <c r="S18"/>
  <c r="R18"/>
  <c r="Q18"/>
  <c r="L18"/>
  <c r="J18" s="1"/>
  <c r="J17"/>
  <c r="J16"/>
  <c r="V14"/>
  <c r="I23" i="1"/>
  <c r="U11" i="2"/>
  <c r="K48" i="3"/>
  <c r="L48"/>
  <c r="M48"/>
  <c r="N48"/>
  <c r="O48"/>
  <c r="P48"/>
  <c r="Q48"/>
  <c r="R48"/>
  <c r="S48"/>
  <c r="T48"/>
  <c r="U48"/>
  <c r="K49"/>
  <c r="M49"/>
  <c r="N49"/>
  <c r="O49"/>
  <c r="P49"/>
  <c r="L50"/>
  <c r="M50"/>
  <c r="N50"/>
  <c r="O50"/>
  <c r="P50"/>
  <c r="K51"/>
  <c r="L51"/>
  <c r="M51"/>
  <c r="N51"/>
  <c r="O51"/>
  <c r="P51"/>
  <c r="T51"/>
  <c r="U51"/>
  <c r="K52"/>
  <c r="L52"/>
  <c r="M52"/>
  <c r="N52"/>
  <c r="P52"/>
  <c r="Q52"/>
  <c r="S52"/>
  <c r="K53"/>
  <c r="L53"/>
  <c r="M53"/>
  <c r="N53"/>
  <c r="O53"/>
  <c r="P53"/>
  <c r="Q53"/>
  <c r="R53"/>
  <c r="S53"/>
  <c r="T53"/>
  <c r="U53"/>
  <c r="K54"/>
  <c r="M54"/>
  <c r="N54"/>
  <c r="O54"/>
  <c r="P54"/>
  <c r="S54"/>
  <c r="K55"/>
  <c r="M55"/>
  <c r="N55"/>
  <c r="P55"/>
  <c r="K56"/>
  <c r="L56"/>
  <c r="M56"/>
  <c r="N56"/>
  <c r="O56"/>
  <c r="P56"/>
  <c r="Q56"/>
  <c r="R56"/>
  <c r="S56"/>
  <c r="T56"/>
  <c r="U56"/>
  <c r="L33"/>
  <c r="M33"/>
  <c r="N33"/>
  <c r="O33"/>
  <c r="P33"/>
  <c r="Q33"/>
  <c r="R33"/>
  <c r="S33"/>
  <c r="K33"/>
  <c r="V39"/>
  <c r="U38"/>
  <c r="U33" s="1"/>
  <c r="V37"/>
  <c r="V36"/>
  <c r="J37"/>
  <c r="J36"/>
  <c r="V35"/>
  <c r="V34"/>
  <c r="J38"/>
  <c r="T38"/>
  <c r="T50" s="1"/>
  <c r="N57" l="1"/>
  <c r="W18" i="4"/>
  <c r="M57" i="3"/>
  <c r="P57"/>
  <c r="T33"/>
  <c r="U50"/>
  <c r="V38"/>
  <c r="J39"/>
  <c r="J35"/>
  <c r="J34"/>
  <c r="V33"/>
  <c r="V51"/>
  <c r="J21" i="1" l="1"/>
  <c r="V27" i="3" l="1"/>
  <c r="V17"/>
  <c r="V13"/>
  <c r="V18"/>
  <c r="V16"/>
  <c r="V14"/>
  <c r="J41" l="1"/>
  <c r="W42" s="1"/>
  <c r="W41" s="1"/>
  <c r="J43"/>
  <c r="V14" i="1"/>
  <c r="V23" s="1"/>
  <c r="U15" i="3"/>
  <c r="U52" s="1"/>
  <c r="D52"/>
  <c r="D49"/>
  <c r="K23" i="1"/>
  <c r="N23"/>
  <c r="P23"/>
  <c r="J18" i="3"/>
  <c r="V56" l="1"/>
  <c r="V53"/>
  <c r="V50"/>
  <c r="M23" i="1"/>
  <c r="J19"/>
  <c r="J33" i="3" s="1"/>
  <c r="W34" s="1"/>
  <c r="W19" i="1"/>
  <c r="W44" i="3"/>
  <c r="W45"/>
  <c r="W35"/>
  <c r="U30"/>
  <c r="U55" s="1"/>
  <c r="U32"/>
  <c r="U54" s="1"/>
  <c r="T30"/>
  <c r="T55" s="1"/>
  <c r="T32"/>
  <c r="T54" s="1"/>
  <c r="Q32"/>
  <c r="Q54" s="1"/>
  <c r="Q30"/>
  <c r="Q55" s="1"/>
  <c r="L32"/>
  <c r="L54" s="1"/>
  <c r="U31"/>
  <c r="U49" s="1"/>
  <c r="U57" s="1"/>
  <c r="T31"/>
  <c r="T49" s="1"/>
  <c r="R30"/>
  <c r="R55" s="1"/>
  <c r="R31"/>
  <c r="R49" s="1"/>
  <c r="S30"/>
  <c r="S55" s="1"/>
  <c r="S31"/>
  <c r="S49" s="1"/>
  <c r="Q31"/>
  <c r="Q49" s="1"/>
  <c r="L31"/>
  <c r="L49" s="1"/>
  <c r="J32"/>
  <c r="U29"/>
  <c r="T29"/>
  <c r="S29"/>
  <c r="R29"/>
  <c r="Q29"/>
  <c r="L29"/>
  <c r="Q18" i="1"/>
  <c r="Q23" s="1"/>
  <c r="U18"/>
  <c r="L18"/>
  <c r="L23" s="1"/>
  <c r="T18"/>
  <c r="R18"/>
  <c r="J18" s="1"/>
  <c r="S18"/>
  <c r="W39" i="3" l="1"/>
  <c r="W36"/>
  <c r="W37"/>
  <c r="V49"/>
  <c r="W38"/>
  <c r="V32"/>
  <c r="J31"/>
  <c r="V30"/>
  <c r="V55"/>
  <c r="J29"/>
  <c r="W32" s="1"/>
  <c r="V29"/>
  <c r="V31"/>
  <c r="W18" i="1"/>
  <c r="J30" i="3"/>
  <c r="W30" s="1"/>
  <c r="R22"/>
  <c r="R54" s="1"/>
  <c r="R20"/>
  <c r="R50" s="1"/>
  <c r="T19"/>
  <c r="T15" i="4" s="1"/>
  <c r="W15" s="1"/>
  <c r="V54" i="3" l="1"/>
  <c r="J22"/>
  <c r="W31"/>
  <c r="W29" s="1"/>
  <c r="D56"/>
  <c r="D53"/>
  <c r="D55"/>
  <c r="D48" l="1"/>
  <c r="V48" l="1"/>
  <c r="J46"/>
  <c r="V40"/>
  <c r="J40"/>
  <c r="W40" s="1"/>
  <c r="W33" s="1"/>
  <c r="V28" l="1"/>
  <c r="J28"/>
  <c r="J56" s="1"/>
  <c r="J27" l="1"/>
  <c r="U26"/>
  <c r="T26"/>
  <c r="S26"/>
  <c r="R26"/>
  <c r="Q26"/>
  <c r="P26"/>
  <c r="O26"/>
  <c r="N26"/>
  <c r="M26"/>
  <c r="L26"/>
  <c r="K26"/>
  <c r="I26"/>
  <c r="B26"/>
  <c r="J25"/>
  <c r="V26" l="1"/>
  <c r="J24"/>
  <c r="V23"/>
  <c r="U23"/>
  <c r="T23"/>
  <c r="S23"/>
  <c r="R23"/>
  <c r="Q23"/>
  <c r="P23"/>
  <c r="O23"/>
  <c r="N23"/>
  <c r="M23"/>
  <c r="L23"/>
  <c r="K23"/>
  <c r="I23"/>
  <c r="G23"/>
  <c r="V22"/>
  <c r="J54" l="1"/>
  <c r="V21"/>
  <c r="S21"/>
  <c r="S51" s="1"/>
  <c r="R21"/>
  <c r="R51" s="1"/>
  <c r="Q21"/>
  <c r="Q51" s="1"/>
  <c r="V20"/>
  <c r="S20"/>
  <c r="S50" s="1"/>
  <c r="S57" s="1"/>
  <c r="Q20"/>
  <c r="Q50" s="1"/>
  <c r="Q57" s="1"/>
  <c r="K20"/>
  <c r="K50" s="1"/>
  <c r="K57" s="1"/>
  <c r="Q19"/>
  <c r="P19"/>
  <c r="O19"/>
  <c r="N19"/>
  <c r="M19"/>
  <c r="L19"/>
  <c r="K19"/>
  <c r="I19"/>
  <c r="H19"/>
  <c r="H47" s="1"/>
  <c r="G19"/>
  <c r="J17"/>
  <c r="J53" s="1"/>
  <c r="O16"/>
  <c r="O55" s="1"/>
  <c r="L16"/>
  <c r="L55" s="1"/>
  <c r="L57" s="1"/>
  <c r="T15"/>
  <c r="T52" s="1"/>
  <c r="T57" s="1"/>
  <c r="R15"/>
  <c r="R52" s="1"/>
  <c r="O15"/>
  <c r="O52" s="1"/>
  <c r="O57" s="1"/>
  <c r="J14"/>
  <c r="J48" s="1"/>
  <c r="J13"/>
  <c r="J49" s="1"/>
  <c r="U12"/>
  <c r="U14" i="4" s="1"/>
  <c r="S12" i="3"/>
  <c r="Q12"/>
  <c r="Q47" s="1"/>
  <c r="P12"/>
  <c r="P47" s="1"/>
  <c r="N12"/>
  <c r="N47" s="1"/>
  <c r="M12"/>
  <c r="M47" s="1"/>
  <c r="L12"/>
  <c r="L47" s="1"/>
  <c r="K12"/>
  <c r="K47" s="1"/>
  <c r="I12"/>
  <c r="I47" s="1"/>
  <c r="G12"/>
  <c r="R57" l="1"/>
  <c r="V15"/>
  <c r="V52"/>
  <c r="J20"/>
  <c r="J50" s="1"/>
  <c r="J21"/>
  <c r="J51" s="1"/>
  <c r="U47"/>
  <c r="V57"/>
  <c r="O12"/>
  <c r="O14" i="4" s="1"/>
  <c r="R19" i="3"/>
  <c r="R15" i="4" s="1"/>
  <c r="J15" s="1"/>
  <c r="R12" i="3"/>
  <c r="R14" i="4" s="1"/>
  <c r="S19" i="3"/>
  <c r="S15" i="4" s="1"/>
  <c r="T12" i="3"/>
  <c r="T14" i="4" s="1"/>
  <c r="W14" s="1"/>
  <c r="J15" i="3"/>
  <c r="J52" s="1"/>
  <c r="J16"/>
  <c r="J55" s="1"/>
  <c r="R12" i="2"/>
  <c r="Q12"/>
  <c r="P12"/>
  <c r="O12"/>
  <c r="N12"/>
  <c r="M12"/>
  <c r="L12"/>
  <c r="K12"/>
  <c r="J12"/>
  <c r="I12"/>
  <c r="H12"/>
  <c r="G12"/>
  <c r="F12"/>
  <c r="S10"/>
  <c r="S9"/>
  <c r="J14" i="4" l="1"/>
  <c r="S12" i="2"/>
  <c r="V12" i="3"/>
  <c r="R15" i="1"/>
  <c r="O47" i="3"/>
  <c r="R47"/>
  <c r="T47"/>
  <c r="V47" s="1"/>
  <c r="S15" i="1"/>
  <c r="S23" s="1"/>
  <c r="S47" i="3"/>
  <c r="R14" i="1"/>
  <c r="J17"/>
  <c r="J26" i="3" s="1"/>
  <c r="J16" i="1"/>
  <c r="J23" i="3" s="1"/>
  <c r="T15" i="1"/>
  <c r="J15"/>
  <c r="J19" i="3" s="1"/>
  <c r="W46" s="1"/>
  <c r="W43" s="1"/>
  <c r="U14" i="1"/>
  <c r="U23" s="1"/>
  <c r="T14"/>
  <c r="T23" l="1"/>
  <c r="R23"/>
  <c r="W23"/>
  <c r="W25" i="3"/>
  <c r="W24"/>
  <c r="W28"/>
  <c r="W27"/>
  <c r="W22"/>
  <c r="W20"/>
  <c r="W21"/>
  <c r="J57"/>
  <c r="W15" i="1"/>
  <c r="V19" i="3" s="1"/>
  <c r="W14" i="1"/>
  <c r="R59" i="3"/>
  <c r="W26" l="1"/>
  <c r="W23"/>
  <c r="W19"/>
  <c r="O14" i="1"/>
  <c r="O23" s="1"/>
  <c r="J14" l="1"/>
  <c r="J23" s="1"/>
  <c r="J12" i="3" l="1"/>
  <c r="J47" s="1"/>
  <c r="W14" l="1"/>
  <c r="W16"/>
  <c r="W18"/>
  <c r="W15"/>
  <c r="W17"/>
  <c r="W13"/>
  <c r="J58" l="1"/>
  <c r="W49"/>
  <c r="W51"/>
  <c r="W53"/>
  <c r="W55"/>
  <c r="W48"/>
  <c r="W50"/>
  <c r="W52"/>
  <c r="W54"/>
  <c r="W56"/>
  <c r="W12"/>
  <c r="W47" l="1"/>
</calcChain>
</file>

<file path=xl/comments1.xml><?xml version="1.0" encoding="utf-8"?>
<comments xmlns="http://schemas.openxmlformats.org/spreadsheetml/2006/main">
  <authors>
    <author>Аудитор 2</author>
    <author>cons2</author>
    <author>Ульянич</author>
    <author>Конс1</author>
  </authors>
  <commentList>
    <comment ref="G14" authorId="0">
      <text>
        <r>
          <rPr>
            <i/>
            <sz val="8"/>
            <color indexed="81"/>
            <rFont val="Tahoma"/>
            <family val="2"/>
            <charset val="204"/>
          </rPr>
          <t>Аудитор 2:</t>
        </r>
        <r>
          <rPr>
            <b/>
            <i/>
            <sz val="8"/>
            <color indexed="81"/>
            <rFont val="Tahoma"/>
            <family val="2"/>
            <charset val="204"/>
          </rPr>
          <t xml:space="preserve">
отражена сумма Администратора доходов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просроченная задолженность за пользование жилыми помещениями муниципального жилищного фонда по состоянию на 01.06.2011 </t>
        </r>
        <r>
          <rPr>
            <b/>
            <sz val="8"/>
            <color indexed="81"/>
            <rFont val="Tahoma"/>
            <family val="2"/>
            <charset val="204"/>
          </rPr>
          <t xml:space="preserve">- 677,9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ул. 50 лет Октября 6/1</t>
        </r>
        <r>
          <rPr>
            <b/>
            <sz val="8"/>
            <color indexed="81"/>
            <rFont val="Tahoma"/>
            <family val="2"/>
            <charset val="204"/>
          </rPr>
          <t xml:space="preserve">- 440,0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п. Моховая Падь</t>
        </r>
        <r>
          <rPr>
            <b/>
            <sz val="8"/>
            <color indexed="81"/>
            <rFont val="Tahoma"/>
            <family val="2"/>
            <charset val="204"/>
          </rPr>
          <t xml:space="preserve"> - 291,7 т.руб.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 - 3,3 т.руб.
</t>
        </r>
        <r>
          <rPr>
            <sz val="8"/>
            <color indexed="81"/>
            <rFont val="Tahoma"/>
            <family val="2"/>
            <charset val="204"/>
          </rPr>
          <t xml:space="preserve">недополученный доход от неиспользования муниципального имущества ул. Красноармейская, 65 </t>
        </r>
        <r>
          <rPr>
            <b/>
            <sz val="8"/>
            <color indexed="81"/>
            <rFont val="Tahoma"/>
            <family val="2"/>
            <charset val="204"/>
          </rPr>
          <t xml:space="preserve">-376,9 т.руб.
</t>
        </r>
        <r>
          <rPr>
            <sz val="8"/>
            <color indexed="81"/>
            <rFont val="Tahoma"/>
            <family val="2"/>
            <charset val="204"/>
          </rPr>
          <t>не используется в работе (с декабря 2010 г.) киоск сенсорный "Корсар</t>
        </r>
        <r>
          <rPr>
            <b/>
            <sz val="8"/>
            <color indexed="81"/>
            <rFont val="Tahoma"/>
            <family val="2"/>
            <charset val="204"/>
          </rPr>
          <t xml:space="preserve">"-82,5 т.руб. </t>
        </r>
        <r>
          <rPr>
            <sz val="8"/>
            <color indexed="81"/>
            <rFont val="Tahoma"/>
            <family val="2"/>
            <charset val="204"/>
          </rPr>
          <t xml:space="preserve">и автомобиль ГАЗ-3110 </t>
        </r>
        <r>
          <rPr>
            <b/>
            <sz val="8"/>
            <color indexed="81"/>
            <rFont val="Tahoma"/>
            <family val="2"/>
            <charset val="204"/>
          </rPr>
          <t xml:space="preserve">-292,6 т.руб.
</t>
        </r>
        <r>
          <rPr>
            <sz val="8"/>
            <color indexed="81"/>
            <rFont val="Tahoma"/>
            <family val="2"/>
            <charset val="204"/>
          </rPr>
          <t>убытки от неиспользуемого здания ул. Амурская, 201/2</t>
        </r>
        <r>
          <rPr>
            <b/>
            <sz val="8"/>
            <color indexed="81"/>
            <rFont val="Tahoma"/>
            <family val="2"/>
            <charset val="204"/>
          </rPr>
          <t xml:space="preserve"> - 311,5 т.руб.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8" authorId="2">
      <text>
        <r>
          <rPr>
            <b/>
            <sz val="14"/>
            <color indexed="81"/>
            <rFont val="Times New Roman"/>
            <family val="1"/>
            <charset val="204"/>
          </rPr>
          <t>Ульянич:</t>
        </r>
        <r>
          <rPr>
            <sz val="14"/>
            <color indexed="81"/>
            <rFont val="Times New Roman"/>
            <family val="1"/>
            <charset val="204"/>
          </rPr>
          <t xml:space="preserve">
В составе основных средств не числится имущество на общую сумму 13 351,3 т. р. </t>
        </r>
      </text>
    </comment>
    <comment ref="Q18" authorId="1">
      <text>
        <r>
          <rPr>
            <b/>
            <sz val="11"/>
            <color indexed="81"/>
            <rFont val="Tahoma"/>
            <family val="2"/>
            <charset val="204"/>
          </rPr>
          <t>Ульянич:
3549-</t>
        </r>
        <r>
          <rPr>
            <sz val="11"/>
            <color indexed="81"/>
            <rFont val="Tahoma"/>
            <family val="2"/>
            <charset val="204"/>
          </rPr>
          <t>невозмещеные расходы по зачислению средств на транзитный счет</t>
        </r>
        <r>
          <rPr>
            <b/>
            <sz val="11"/>
            <color indexed="81"/>
            <rFont val="Tahoma"/>
            <family val="2"/>
            <charset val="204"/>
          </rPr>
          <t xml:space="preserve">
275,1-</t>
        </r>
        <r>
          <rPr>
            <sz val="11"/>
            <color indexed="81"/>
            <rFont val="Tahoma"/>
            <family val="2"/>
            <charset val="204"/>
          </rPr>
          <t xml:space="preserve">сумма недополученного дохода от неверного расчета вознаграждения
</t>
        </r>
        <r>
          <rPr>
            <b/>
            <sz val="11"/>
            <color indexed="81"/>
            <rFont val="Tahoma"/>
            <family val="2"/>
            <charset val="204"/>
          </rPr>
          <t>1011,8 т.р</t>
        </r>
        <r>
          <rPr>
            <sz val="11"/>
            <color indexed="81"/>
            <rFont val="Tahoma"/>
            <family val="2"/>
            <charset val="204"/>
          </rPr>
          <t xml:space="preserve">. завышение затрат от неверного исчисления комиссии операторам 
</t>
        </r>
        <r>
          <rPr>
            <b/>
            <sz val="11"/>
            <color indexed="81"/>
            <rFont val="Tahoma"/>
            <family val="2"/>
            <charset val="204"/>
          </rPr>
          <t>898,5 т.р.</t>
        </r>
        <r>
          <rPr>
            <sz val="11"/>
            <color indexed="81"/>
            <rFont val="Tahoma"/>
            <family val="2"/>
            <charset val="204"/>
          </rPr>
          <t xml:space="preserve">-приняты расходы за прием платежей без заключенных договоров с ОАО «Востоккредитбанк» и ООО "Платежные системы РНКО"
оплата коммунальных услуг, приходящихся на содержание помещений. занимаемых другими организациями - </t>
        </r>
        <r>
          <rPr>
            <b/>
            <sz val="11"/>
            <color indexed="81"/>
            <rFont val="Tahoma"/>
            <family val="2"/>
            <charset val="204"/>
          </rPr>
          <t>323,6</t>
        </r>
        <r>
          <rPr>
            <sz val="11"/>
            <color indexed="81"/>
            <rFont val="Tahoma"/>
            <family val="2"/>
            <charset val="204"/>
          </rPr>
          <t xml:space="preserve"> т.р.+</t>
        </r>
        <r>
          <rPr>
            <b/>
            <sz val="11"/>
            <color indexed="81"/>
            <rFont val="Tahoma"/>
            <family val="2"/>
            <charset val="204"/>
          </rPr>
          <t>81,1т.р.+35,7т.р.+11,3т.р.
31,9-</t>
        </r>
        <r>
          <rPr>
            <sz val="11"/>
            <color indexed="81"/>
            <rFont val="Tahoma"/>
            <family val="2"/>
            <charset val="204"/>
          </rPr>
          <t>произведены необоснованные расходы на ремонт автомобиля</t>
        </r>
        <r>
          <rPr>
            <b/>
            <sz val="11"/>
            <color indexed="81"/>
            <rFont val="Tahoma"/>
            <family val="2"/>
            <charset val="204"/>
          </rPr>
          <t xml:space="preserve"> 
22,8-</t>
        </r>
        <r>
          <rPr>
            <sz val="11"/>
            <color indexed="81"/>
            <rFont val="Tahoma"/>
            <family val="2"/>
            <charset val="204"/>
          </rPr>
          <t xml:space="preserve">имеются случаи необоснованного списания МПЗ (оформления хозяйственных операций на основании первичных документов оформленных не соответствующим образом) 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S18" authorId="1">
      <text>
        <r>
          <rPr>
            <b/>
            <sz val="12"/>
            <color indexed="81"/>
            <rFont val="Tahoma"/>
            <family val="2"/>
            <charset val="204"/>
          </rPr>
          <t xml:space="preserve">Ульянич:
1381675 </t>
        </r>
        <r>
          <rPr>
            <sz val="12"/>
            <color indexed="81"/>
            <rFont val="Tahoma"/>
            <family val="2"/>
            <charset val="204"/>
          </rPr>
          <t xml:space="preserve">-необоснованная кредиторская задолженность в сумме 337 485,5 тыс. рублей, дебиторская задолженность в сумме 325 618,3 тыс. рублей, неотраженные расчеты с населением за оказанные услуги на сумму 379 526,1 тыс. рублей и расчеты с операторами по сбору платежей на сумму 339 045,1 тыс. рублей.
</t>
        </r>
        <r>
          <rPr>
            <b/>
            <sz val="12"/>
            <color indexed="81"/>
            <rFont val="Tahoma"/>
            <family val="2"/>
            <charset val="204"/>
          </rPr>
          <t>96,2</t>
        </r>
        <r>
          <rPr>
            <sz val="12"/>
            <color indexed="81"/>
            <rFont val="Tahoma"/>
            <family val="2"/>
            <charset val="204"/>
          </rPr>
          <t xml:space="preserve">-yневерно в качестве материалов оприходованы нематериальные активы 
</t>
        </r>
        <r>
          <rPr>
            <b/>
            <sz val="12"/>
            <color indexed="81"/>
            <rFont val="Tahoma"/>
            <family val="2"/>
            <charset val="204"/>
          </rPr>
          <t>351,8-</t>
        </r>
        <r>
          <rPr>
            <sz val="12"/>
            <color indexed="81"/>
            <rFont val="Tahoma"/>
            <family val="2"/>
            <charset val="204"/>
          </rPr>
          <t xml:space="preserve">не верное отражение в бухучете прироста стоимости активов, полученных Предприятием безвозмездно 
</t>
        </r>
        <r>
          <rPr>
            <b/>
            <sz val="12"/>
            <color indexed="81"/>
            <rFont val="Tahoma"/>
            <family val="2"/>
            <charset val="204"/>
          </rPr>
          <t>9,6</t>
        </r>
        <r>
          <rPr>
            <sz val="12"/>
            <color indexed="81"/>
            <rFont val="Tahoma"/>
            <family val="2"/>
            <charset val="204"/>
          </rPr>
          <t xml:space="preserve">-неверно отраженное начисление арендной платы за использование автомобиля
</t>
        </r>
        <r>
          <rPr>
            <b/>
            <sz val="12"/>
            <color indexed="81"/>
            <rFont val="Tahoma"/>
            <family val="2"/>
            <charset val="204"/>
          </rPr>
          <t>1</t>
        </r>
        <r>
          <rPr>
            <sz val="12"/>
            <color indexed="81"/>
            <rFont val="Tahoma"/>
            <family val="2"/>
            <charset val="204"/>
          </rPr>
          <t xml:space="preserve">-неверно отражено начисление транспортного налога 
</t>
        </r>
        <r>
          <rPr>
            <b/>
            <sz val="12"/>
            <color indexed="81"/>
            <rFont val="Tahoma"/>
            <family val="2"/>
            <charset val="204"/>
          </rPr>
          <t>4,4</t>
        </r>
        <r>
          <rPr>
            <sz val="12"/>
            <color indexed="81"/>
            <rFont val="Tahoma"/>
            <family val="2"/>
            <charset val="204"/>
          </rPr>
          <t xml:space="preserve">-отсутствие в первичных документах подписи материально-ответственных лиц 
</t>
        </r>
        <r>
          <rPr>
            <b/>
            <sz val="12"/>
            <color indexed="81"/>
            <rFont val="Tahoma"/>
            <family val="2"/>
            <charset val="204"/>
          </rPr>
          <t>11</t>
        </r>
        <r>
          <rPr>
            <sz val="12"/>
            <color indexed="81"/>
            <rFont val="Tahoma"/>
            <family val="2"/>
            <charset val="204"/>
          </rPr>
          <t xml:space="preserve">-отсутствия подписи лиц, ответственных за совершение хозяйственной операции (подотчетного лиц, главного бухгалтера, директора) в 16 авансовых отчетах
</t>
        </r>
        <r>
          <rPr>
            <b/>
            <sz val="12"/>
            <color indexed="81"/>
            <rFont val="Tahoma"/>
            <family val="2"/>
            <charset val="204"/>
          </rPr>
          <t>476,6</t>
        </r>
        <r>
          <rPr>
            <sz val="12"/>
            <color indexed="81"/>
            <rFont val="Tahoma"/>
            <family val="2"/>
            <charset val="204"/>
          </rPr>
          <t xml:space="preserve"> - несоответствие данных синтетического учета (Главной книги) по счету 70 «Расчеты с персоналом по оплате труда»  данным аналитического учета (сводной ведомости по видам оплат и удержаний) 
</t>
        </r>
        <r>
          <rPr>
            <b/>
            <sz val="12"/>
            <color indexed="81"/>
            <rFont val="Tahoma"/>
            <family val="2"/>
            <charset val="204"/>
          </rPr>
          <t>11,8-</t>
        </r>
        <r>
          <rPr>
            <sz val="12"/>
            <color indexed="81"/>
            <rFont val="Tahoma"/>
            <family val="2"/>
            <charset val="204"/>
          </rPr>
          <t xml:space="preserve"> установлено 7 случаев выдачи денежных средств под отчет при наличии задолженности подотчетных лиц по ранее выданному авансу
</t>
        </r>
        <r>
          <rPr>
            <b/>
            <sz val="12"/>
            <color indexed="81"/>
            <rFont val="Tahoma"/>
            <family val="2"/>
            <charset val="204"/>
          </rPr>
          <t>2,7</t>
        </r>
        <r>
          <rPr>
            <sz val="12"/>
            <color indexed="81"/>
            <rFont val="Tahoma"/>
            <family val="2"/>
            <charset val="204"/>
          </rPr>
          <t xml:space="preserve">- 2 случая отсутствия актов о возврате денежных сумм покупателям по неиспользованным кассовым чекам
</t>
        </r>
        <r>
          <rPr>
            <b/>
            <sz val="12"/>
            <color indexed="81"/>
            <rFont val="Tahoma"/>
            <family val="2"/>
            <charset val="204"/>
          </rPr>
          <t>13,7</t>
        </r>
        <r>
          <rPr>
            <sz val="12"/>
            <color indexed="81"/>
            <rFont val="Tahoma"/>
            <family val="2"/>
            <charset val="204"/>
          </rPr>
          <t xml:space="preserve">-недоначисленная з/п
</t>
        </r>
        <r>
          <rPr>
            <b/>
            <sz val="12"/>
            <color indexed="81"/>
            <rFont val="Tahoma"/>
            <family val="2"/>
            <charset val="204"/>
          </rPr>
          <t>183434</t>
        </r>
        <r>
          <rPr>
            <sz val="12"/>
            <color indexed="81"/>
            <rFont val="Tahoma"/>
            <family val="2"/>
            <charset val="204"/>
          </rPr>
          <t xml:space="preserve"> - искажение ы ф.1
</t>
        </r>
        <r>
          <rPr>
            <b/>
            <sz val="12"/>
            <color indexed="81"/>
            <rFont val="Tahoma"/>
            <family val="2"/>
            <charset val="204"/>
          </rPr>
          <t>20993</t>
        </r>
        <r>
          <rPr>
            <sz val="12"/>
            <color indexed="81"/>
            <rFont val="Tahoma"/>
            <family val="2"/>
            <charset val="204"/>
          </rPr>
          <t>-искажение в ф.2</t>
        </r>
      </text>
    </comment>
    <comment ref="T18" authorId="1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Отразить по данным бухгалтерского учета сумму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тыс. рублей</t>
        </r>
        <r>
          <rPr>
            <sz val="8"/>
            <color indexed="81"/>
            <rFont val="Tahoma"/>
            <family val="2"/>
            <charset val="204"/>
          </rPr>
          <t>), сумму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тыс. рублей</t>
        </r>
        <r>
          <rPr>
            <sz val="8"/>
            <color indexed="81"/>
            <rFont val="Tahoma"/>
            <family val="2"/>
            <charset val="204"/>
          </rPr>
          <t>), сумму комиссии Операторов по сбору платежей отнести на расчеты с Компаниями (</t>
        </r>
        <r>
          <rPr>
            <b/>
            <sz val="8"/>
            <color indexed="81"/>
            <rFont val="Tahoma"/>
            <family val="2"/>
            <charset val="204"/>
          </rPr>
          <t>3 549,0 тыс. рублей</t>
        </r>
        <r>
          <rPr>
            <sz val="8"/>
            <color indexed="81"/>
            <rFont val="Tahoma"/>
            <family val="2"/>
            <charset val="204"/>
          </rPr>
          <t>). Суммы,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тыс. рублей</t>
        </r>
        <r>
          <rPr>
            <sz val="8"/>
            <color indexed="81"/>
            <rFont val="Tahoma"/>
            <family val="2"/>
            <charset val="204"/>
          </rPr>
          <t xml:space="preserve">) относить на взаиморасчеты с ними.
</t>
        </r>
        <r>
          <rPr>
            <b/>
            <sz val="8"/>
            <color indexed="81"/>
            <rFont val="Tahoma"/>
            <family val="2"/>
            <charset val="204"/>
          </rPr>
          <t>275,1т.р.</t>
        </r>
        <r>
          <rPr>
            <sz val="8"/>
            <color indexed="81"/>
            <rFont val="Tahoma"/>
            <family val="2"/>
            <charset val="204"/>
          </rPr>
          <t xml:space="preserve">-пересчетать вознаграждение за учет платежей населения по договоам с Компаниями
</t>
        </r>
        <r>
          <rPr>
            <b/>
            <sz val="8"/>
            <color indexed="81"/>
            <rFont val="Tahoma"/>
            <family val="2"/>
            <charset val="204"/>
          </rPr>
          <t>1011,9 т.р.-</t>
        </r>
        <r>
          <rPr>
            <sz val="8"/>
            <color indexed="81"/>
            <rFont val="Tahoma"/>
            <family val="2"/>
            <charset val="204"/>
          </rPr>
          <t xml:space="preserve">-установить причину отклонений в суммах удержанной комиссии за услуги по сбору и зачислению квартплаты от населения
</t>
        </r>
        <r>
          <rPr>
            <b/>
            <sz val="8"/>
            <color indexed="81"/>
            <rFont val="Tahoma"/>
            <family val="2"/>
            <charset val="204"/>
          </rPr>
          <t>440+291,7</t>
        </r>
        <r>
          <rPr>
            <sz val="8"/>
            <color indexed="81"/>
            <rFont val="Tahoma"/>
            <family val="2"/>
            <charset val="204"/>
          </rPr>
          <t xml:space="preserve">-взыскать с ООО"ГРКЦ" сумму недополученного дохода от использования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323,6+81,1</t>
        </r>
        <r>
          <rPr>
            <sz val="8"/>
            <color indexed="81"/>
            <rFont val="Tahoma"/>
            <family val="2"/>
            <charset val="204"/>
          </rPr>
          <t xml:space="preserve"> - взыскать с ООО "Управление жильем" сумму недополученного дохода за использование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3,3</t>
        </r>
        <r>
          <rPr>
            <sz val="8"/>
            <color indexed="81"/>
            <rFont val="Tahoma"/>
            <family val="2"/>
            <charset val="204"/>
          </rPr>
          <t xml:space="preserve">-оплата за кофе-машину Кириным
47-взыскать с ЧП Задорожная Т.С. и ООО "Престиж" сумму задолженности за содержание части здания по адресу: ул. Амурская. 201/2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-рассмотреть вопрос о целесообразности дальнейшего использования в работе киоска сенсорного «Корсар»
</t>
        </r>
        <r>
          <rPr>
            <b/>
            <sz val="8"/>
            <color indexed="81"/>
            <rFont val="Tahoma"/>
            <family val="2"/>
            <charset val="204"/>
          </rPr>
          <t>13351,3</t>
        </r>
        <r>
          <rPr>
            <sz val="8"/>
            <color indexed="81"/>
            <rFont val="Tahoma"/>
            <family val="2"/>
            <charset val="204"/>
          </rPr>
          <t xml:space="preserve">-излишки ОС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Восстановить в бухучете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отразить прирост стоимости активов, полученных безвозмездно на сч.98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 подписать аванс отчеты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 - подписать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U18" authorId="1">
      <text>
        <r>
          <rPr>
            <b/>
            <sz val="12"/>
            <color indexed="81"/>
            <rFont val="Tahoma"/>
            <family val="2"/>
            <charset val="204"/>
          </rPr>
          <t>Ульянич:</t>
        </r>
        <r>
          <rPr>
            <sz val="12"/>
            <color indexed="81"/>
            <rFont val="Tahoma"/>
            <family val="2"/>
            <charset val="204"/>
          </rPr>
          <t xml:space="preserve">
Отражена по данным бухгалтерского учета сумма начисленную населению за оказанные услуги (</t>
        </r>
        <r>
          <rPr>
            <b/>
            <sz val="12"/>
            <color indexed="81"/>
            <rFont val="Tahoma"/>
            <family val="2"/>
            <charset val="204"/>
          </rPr>
          <t>379 526 т. р.</t>
        </r>
        <r>
          <rPr>
            <sz val="12"/>
            <color indexed="81"/>
            <rFont val="Tahoma"/>
            <family val="2"/>
            <charset val="204"/>
          </rPr>
          <t>), сумма поступивших денежных средств от населения Оператору по сбору платежей (</t>
        </r>
        <r>
          <rPr>
            <b/>
            <sz val="12"/>
            <color indexed="81"/>
            <rFont val="Tahoma"/>
            <family val="2"/>
            <charset val="204"/>
          </rPr>
          <t>339 045,1 т. р.</t>
        </r>
        <r>
          <rPr>
            <sz val="12"/>
            <color indexed="81"/>
            <rFont val="Tahoma"/>
            <family val="2"/>
            <charset val="204"/>
          </rPr>
          <t>), сумма, перечисленные по поручениям Компаний (</t>
        </r>
        <r>
          <rPr>
            <b/>
            <sz val="12"/>
            <color indexed="81"/>
            <rFont val="Tahoma"/>
            <family val="2"/>
            <charset val="204"/>
          </rPr>
          <t>243 589,4 т. р.</t>
        </r>
        <r>
          <rPr>
            <sz val="12"/>
            <color indexed="81"/>
            <rFont val="Tahoma"/>
            <family val="2"/>
            <charset val="204"/>
          </rPr>
          <t>) относена на взаиморасчеты с ними.
Произведен перерасчет вознаграждения за учет платежей населения по договоам с Компаниями-</t>
        </r>
        <r>
          <rPr>
            <b/>
            <sz val="12"/>
            <color indexed="81"/>
            <rFont val="Tahoma"/>
            <family val="2"/>
            <charset val="204"/>
          </rPr>
          <t>275,1т.р.
3,3-</t>
        </r>
        <r>
          <rPr>
            <sz val="12"/>
            <color indexed="81"/>
            <rFont val="Tahoma"/>
            <family val="2"/>
            <charset val="204"/>
          </rPr>
          <t xml:space="preserve">оплата за кофе-машину Кириным
</t>
        </r>
        <r>
          <rPr>
            <b/>
            <sz val="12"/>
            <color indexed="81"/>
            <rFont val="Tahoma"/>
            <family val="2"/>
            <charset val="204"/>
          </rPr>
          <t>82,5</t>
        </r>
        <r>
          <rPr>
            <sz val="12"/>
            <color indexed="81"/>
            <rFont val="Tahoma"/>
            <family val="2"/>
            <charset val="204"/>
          </rPr>
          <t xml:space="preserve"> - введен в экспуатацию киоск сенснорный "Корсар"
</t>
        </r>
        <r>
          <rPr>
            <b/>
            <sz val="12"/>
            <color indexed="81"/>
            <rFont val="Tahoma"/>
            <family val="2"/>
            <charset val="204"/>
          </rPr>
          <t>47</t>
        </r>
        <r>
          <rPr>
            <sz val="12"/>
            <color indexed="81"/>
            <rFont val="Tahoma"/>
            <family val="2"/>
            <charset val="204"/>
          </rPr>
          <t xml:space="preserve">-оплачено ЧП Задорожная Т.С. и ООО "Престиж"  за содержание части здания по адресу: ул. Амурская. 201/2
</t>
        </r>
        <r>
          <rPr>
            <b/>
            <sz val="12"/>
            <color indexed="81"/>
            <rFont val="Tahoma"/>
            <family val="2"/>
            <charset val="204"/>
          </rPr>
          <t xml:space="preserve">13351,3 </t>
        </r>
        <r>
          <rPr>
            <sz val="12"/>
            <color indexed="81"/>
            <rFont val="Tahoma"/>
            <family val="2"/>
            <charset val="204"/>
          </rPr>
          <t xml:space="preserve">-оприходованы излишки ОС
</t>
        </r>
        <r>
          <rPr>
            <b/>
            <sz val="12"/>
            <color indexed="81"/>
            <rFont val="Tahoma"/>
            <family val="2"/>
            <charset val="204"/>
          </rPr>
          <t>96,2</t>
        </r>
        <r>
          <rPr>
            <sz val="12"/>
            <color indexed="81"/>
            <rFont val="Tahoma"/>
            <family val="2"/>
            <charset val="204"/>
          </rPr>
          <t xml:space="preserve"> - восстановленные нематериальные активы
</t>
        </r>
        <r>
          <rPr>
            <b/>
            <sz val="12"/>
            <color indexed="81"/>
            <rFont val="Tahoma"/>
            <family val="2"/>
            <charset val="204"/>
          </rPr>
          <t>351,8</t>
        </r>
        <r>
          <rPr>
            <sz val="12"/>
            <color indexed="81"/>
            <rFont val="Tahoma"/>
            <family val="2"/>
            <charset val="204"/>
          </rPr>
          <t xml:space="preserve">-отражен прирост стоимости безвозмездно полученных активов
</t>
        </r>
        <r>
          <rPr>
            <b/>
            <sz val="12"/>
            <color indexed="81"/>
            <rFont val="Tahoma"/>
            <family val="2"/>
            <charset val="204"/>
          </rPr>
          <t>11</t>
        </r>
        <r>
          <rPr>
            <sz val="12"/>
            <color indexed="81"/>
            <rFont val="Tahoma"/>
            <family val="2"/>
            <charset val="204"/>
          </rPr>
          <t xml:space="preserve"> - авансовые отчеты подписаны
</t>
        </r>
        <r>
          <rPr>
            <b/>
            <sz val="12"/>
            <color indexed="81"/>
            <rFont val="Tahoma"/>
            <family val="2"/>
            <charset val="204"/>
          </rPr>
          <t>22,8</t>
        </r>
        <r>
          <rPr>
            <sz val="12"/>
            <color indexed="81"/>
            <rFont val="Tahoma"/>
            <family val="2"/>
            <charset val="204"/>
          </rPr>
          <t xml:space="preserve">- подписаны акты на списание МПЗ
</t>
        </r>
        <r>
          <rPr>
            <b/>
            <sz val="12"/>
            <color indexed="81"/>
            <rFont val="Tahoma"/>
            <family val="2"/>
            <charset val="204"/>
          </rPr>
          <t>13,7</t>
        </r>
        <r>
          <rPr>
            <sz val="12"/>
            <color indexed="81"/>
            <rFont val="Tahoma"/>
            <family val="2"/>
            <charset val="204"/>
          </rPr>
          <t>-доначислить з/п</t>
        </r>
      </text>
    </comment>
    <comment ref="G19" authorId="3">
      <text>
        <r>
          <rPr>
            <b/>
            <sz val="8"/>
            <color indexed="81"/>
            <rFont val="Tahoma"/>
            <family val="2"/>
            <charset val="204"/>
          </rPr>
          <t>Конс1:</t>
        </r>
        <r>
          <rPr>
            <sz val="8"/>
            <color indexed="81"/>
            <rFont val="Tahoma"/>
            <family val="2"/>
            <charset val="204"/>
          </rPr>
          <t xml:space="preserve">
Доведено ЛБО на конец года
</t>
        </r>
      </text>
    </comment>
    <comment ref="V19" authorId="3">
      <text>
        <r>
          <rPr>
            <b/>
            <sz val="8"/>
            <color indexed="81"/>
            <rFont val="Tahoma"/>
            <family val="2"/>
            <charset val="204"/>
          </rPr>
          <t>Конс1:</t>
        </r>
        <r>
          <rPr>
            <sz val="8"/>
            <color indexed="81"/>
            <rFont val="Tahoma"/>
            <family val="2"/>
            <charset val="204"/>
          </rPr>
          <t xml:space="preserve">
75,4+27+36
</t>
        </r>
      </text>
    </comment>
  </commentList>
</comments>
</file>

<file path=xl/comments2.xml><?xml version="1.0" encoding="utf-8"?>
<comments xmlns="http://schemas.openxmlformats.org/spreadsheetml/2006/main">
  <authors>
    <author>Аудитор 2</author>
    <author>cons2</author>
    <author>Ульянич</author>
    <author>Конс1</author>
  </authors>
  <commentList>
    <comment ref="G14" authorId="0">
      <text>
        <r>
          <rPr>
            <i/>
            <sz val="8"/>
            <color indexed="81"/>
            <rFont val="Tahoma"/>
            <family val="2"/>
            <charset val="204"/>
          </rPr>
          <t>Аудитор 2:</t>
        </r>
        <r>
          <rPr>
            <b/>
            <i/>
            <sz val="8"/>
            <color indexed="81"/>
            <rFont val="Tahoma"/>
            <family val="2"/>
            <charset val="204"/>
          </rPr>
          <t xml:space="preserve">
отражена сумма Администратора доходов</t>
        </r>
      </text>
    </comment>
    <comment ref="R17" authorId="0">
      <text>
        <r>
          <rPr>
            <i/>
            <sz val="8"/>
            <color indexed="81"/>
            <rFont val="Tahoma"/>
            <family val="2"/>
            <charset val="204"/>
          </rPr>
          <t>Аудитор 2:</t>
        </r>
        <r>
          <rPr>
            <b/>
            <i/>
            <sz val="8"/>
            <color indexed="81"/>
            <rFont val="Tahoma"/>
            <family val="2"/>
            <charset val="204"/>
          </rPr>
          <t xml:space="preserve">
упущенная выгода - ГК РФ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просроченная задолженность за пользование жилыми помещениями муниципального жилищного фонда по состоянию на 01.06.2011 </t>
        </r>
        <r>
          <rPr>
            <b/>
            <sz val="8"/>
            <color indexed="81"/>
            <rFont val="Tahoma"/>
            <family val="2"/>
            <charset val="204"/>
          </rPr>
          <t xml:space="preserve">- 677,9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ул. 50 лет Октября 6/1</t>
        </r>
        <r>
          <rPr>
            <b/>
            <sz val="8"/>
            <color indexed="81"/>
            <rFont val="Tahoma"/>
            <family val="2"/>
            <charset val="204"/>
          </rPr>
          <t xml:space="preserve">- 440,0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п. Моховая Падь</t>
        </r>
        <r>
          <rPr>
            <b/>
            <sz val="8"/>
            <color indexed="81"/>
            <rFont val="Tahoma"/>
            <family val="2"/>
            <charset val="204"/>
          </rPr>
          <t xml:space="preserve"> - 291,7 т.руб.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 - 3,3 т.руб.
</t>
        </r>
        <r>
          <rPr>
            <sz val="8"/>
            <color indexed="81"/>
            <rFont val="Tahoma"/>
            <family val="2"/>
            <charset val="204"/>
          </rPr>
          <t xml:space="preserve">недополученный доход от неиспользования муниципального имущества ул. Красноармейская, 65 </t>
        </r>
        <r>
          <rPr>
            <b/>
            <sz val="8"/>
            <color indexed="81"/>
            <rFont val="Tahoma"/>
            <family val="2"/>
            <charset val="204"/>
          </rPr>
          <t xml:space="preserve">-376,9 т.руб.
</t>
        </r>
        <r>
          <rPr>
            <sz val="8"/>
            <color indexed="81"/>
            <rFont val="Tahoma"/>
            <family val="2"/>
            <charset val="204"/>
          </rPr>
          <t>не используется в работе (с декабря 2010 г.) киоск сенсорный "Корсар</t>
        </r>
        <r>
          <rPr>
            <b/>
            <sz val="8"/>
            <color indexed="81"/>
            <rFont val="Tahoma"/>
            <family val="2"/>
            <charset val="204"/>
          </rPr>
          <t xml:space="preserve">"-82,5 т.руб. </t>
        </r>
        <r>
          <rPr>
            <sz val="8"/>
            <color indexed="81"/>
            <rFont val="Tahoma"/>
            <family val="2"/>
            <charset val="204"/>
          </rPr>
          <t xml:space="preserve">и автомобиль ГАЗ-3110 </t>
        </r>
        <r>
          <rPr>
            <b/>
            <sz val="8"/>
            <color indexed="81"/>
            <rFont val="Tahoma"/>
            <family val="2"/>
            <charset val="204"/>
          </rPr>
          <t xml:space="preserve">-292,6 т.руб.
</t>
        </r>
        <r>
          <rPr>
            <sz val="8"/>
            <color indexed="81"/>
            <rFont val="Tahoma"/>
            <family val="2"/>
            <charset val="204"/>
          </rPr>
          <t>убытки от неиспользуемого здания ул. Амурская, 201/2</t>
        </r>
        <r>
          <rPr>
            <b/>
            <sz val="8"/>
            <color indexed="81"/>
            <rFont val="Tahoma"/>
            <family val="2"/>
            <charset val="204"/>
          </rPr>
          <t xml:space="preserve"> - 311,5 т.руб.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8" authorId="2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В составе основных средств не числится имущество на общую сумму 13 351,3 т. р. </t>
        </r>
      </text>
    </comment>
    <comment ref="Q18" authorId="1">
      <text>
        <r>
          <rPr>
            <b/>
            <sz val="8"/>
            <color indexed="81"/>
            <rFont val="Tahoma"/>
            <family val="2"/>
            <charset val="204"/>
          </rPr>
          <t>Ульянич:
3549-</t>
        </r>
        <r>
          <rPr>
            <sz val="8"/>
            <color indexed="81"/>
            <rFont val="Tahoma"/>
            <family val="2"/>
            <charset val="204"/>
          </rPr>
          <t>невозмещеные расходы по зачислению средств на транзитный счет</t>
        </r>
        <r>
          <rPr>
            <b/>
            <sz val="8"/>
            <color indexed="81"/>
            <rFont val="Tahoma"/>
            <family val="2"/>
            <charset val="204"/>
          </rPr>
          <t xml:space="preserve">
275,1-</t>
        </r>
        <r>
          <rPr>
            <sz val="8"/>
            <color indexed="81"/>
            <rFont val="Tahoma"/>
            <family val="2"/>
            <charset val="204"/>
          </rPr>
          <t xml:space="preserve">сумма недополученного дохода от неверного расчета вознаграждения
</t>
        </r>
        <r>
          <rPr>
            <b/>
            <sz val="8"/>
            <color indexed="81"/>
            <rFont val="Tahoma"/>
            <family val="2"/>
            <charset val="204"/>
          </rPr>
          <t>1011,8 т.р</t>
        </r>
        <r>
          <rPr>
            <sz val="8"/>
            <color indexed="81"/>
            <rFont val="Tahoma"/>
            <family val="2"/>
            <charset val="204"/>
          </rPr>
          <t xml:space="preserve">. завышение затрат от неверного исчисления комиссии операторам 
</t>
        </r>
        <r>
          <rPr>
            <b/>
            <sz val="8"/>
            <color indexed="81"/>
            <rFont val="Tahoma"/>
            <family val="2"/>
            <charset val="204"/>
          </rPr>
          <t>898,5 т.р.</t>
        </r>
        <r>
          <rPr>
            <sz val="8"/>
            <color indexed="81"/>
            <rFont val="Tahoma"/>
            <family val="2"/>
            <charset val="204"/>
          </rPr>
          <t xml:space="preserve">-приняты расходы за прием платежей без заключенных договоров с ОАО «Востоккредитбанк» и ООО "Платежные системы РНКО"
оплата коммунальных услуг, приходящихся на содержание помещений. занимаемых другими организациями - </t>
        </r>
        <r>
          <rPr>
            <b/>
            <sz val="8"/>
            <color indexed="81"/>
            <rFont val="Tahoma"/>
            <family val="2"/>
            <charset val="204"/>
          </rPr>
          <t>323,6</t>
        </r>
        <r>
          <rPr>
            <sz val="8"/>
            <color indexed="81"/>
            <rFont val="Tahoma"/>
            <family val="2"/>
            <charset val="204"/>
          </rPr>
          <t xml:space="preserve"> т.р.+</t>
        </r>
        <r>
          <rPr>
            <b/>
            <sz val="8"/>
            <color indexed="81"/>
            <rFont val="Tahoma"/>
            <family val="2"/>
            <charset val="204"/>
          </rPr>
          <t xml:space="preserve">81,1т.р.+35,7т.р.+11,3т.р.
</t>
        </r>
        <r>
          <rPr>
            <b/>
            <sz val="8"/>
            <color indexed="81"/>
            <rFont val="Tahoma"/>
            <family val="2"/>
            <charset val="204"/>
          </rPr>
          <t>31,9-</t>
        </r>
        <r>
          <rPr>
            <sz val="8"/>
            <color indexed="81"/>
            <rFont val="Tahoma"/>
            <family val="2"/>
            <charset val="204"/>
          </rPr>
          <t>произведены необоснованные расходы на ремонт автомобиля</t>
        </r>
        <r>
          <rPr>
            <b/>
            <sz val="8"/>
            <color indexed="81"/>
            <rFont val="Tahoma"/>
            <family val="2"/>
            <charset val="204"/>
          </rPr>
          <t xml:space="preserve"> 
22,8-</t>
        </r>
        <r>
          <rPr>
            <sz val="8"/>
            <color indexed="81"/>
            <rFont val="Tahoma"/>
            <family val="2"/>
            <charset val="204"/>
          </rPr>
          <t xml:space="preserve">имеются случаи необоснованного списания МПЗ (оформления хозяйственных операций на основании первичных документов оформленных не соответствующим образом) 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S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Ульянич:
1381675 </t>
        </r>
        <r>
          <rPr>
            <sz val="8"/>
            <color indexed="81"/>
            <rFont val="Tahoma"/>
            <family val="2"/>
            <charset val="204"/>
          </rPr>
          <t xml:space="preserve">-необоснованная кредиторская задолженность в сумме 337 485,5 тыс. рублей, дебиторская задолженность в сумме 325 618,3 тыс. рублей, неотраженные расчеты с населением за оказанные услуги на сумму 379 526,1 тыс. рублей и расчеты с операторами по сбору платежей на сумму 339 045,1 тыс. рублей.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-yневерно в качестве материалов оприходованы нематериальные активы 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не верное отражение в бухучете прироста стоимости активов, полученных Предприятием безвозмездно 
</t>
        </r>
        <r>
          <rPr>
            <b/>
            <sz val="8"/>
            <color indexed="81"/>
            <rFont val="Tahoma"/>
            <family val="2"/>
            <charset val="204"/>
          </rPr>
          <t>9,6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отраженное начисление арендной платы за использование автомобиля
</t>
        </r>
        <r>
          <rPr>
            <b/>
            <sz val="8"/>
            <color indexed="81"/>
            <rFont val="Tahoma"/>
            <family val="2"/>
            <charset val="204"/>
          </rPr>
          <t>1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отражено начисление транспортного налога 
</t>
        </r>
        <r>
          <rPr>
            <b/>
            <sz val="8"/>
            <color indexed="81"/>
            <rFont val="Tahoma"/>
            <family val="2"/>
            <charset val="204"/>
          </rPr>
          <t>4,4</t>
        </r>
        <r>
          <rPr>
            <sz val="8"/>
            <color indexed="81"/>
            <rFont val="Tahoma"/>
            <family val="2"/>
            <charset val="204"/>
          </rPr>
          <t xml:space="preserve">-отсутствие в первичных документах подписи материально-ответственных лиц 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-отсутствия подписи лиц, ответственных за совершение хозяйственной операции (подотчетного лиц, главного бухгалтера, директора) в 16 авансовых отчетах
</t>
        </r>
        <r>
          <rPr>
            <b/>
            <sz val="8"/>
            <color indexed="81"/>
            <rFont val="Tahoma"/>
            <family val="2"/>
            <charset val="204"/>
          </rPr>
          <t>476,6</t>
        </r>
        <r>
          <rPr>
            <sz val="8"/>
            <color indexed="81"/>
            <rFont val="Tahoma"/>
            <family val="2"/>
            <charset val="204"/>
          </rPr>
          <t xml:space="preserve"> - несоответствие данных синтетического учета (Главной книги) по счету 70 «Расчеты с персоналом по оплате труда»  данным аналитического учета (сводной ведомости по видам оплат и удержаний) 
</t>
        </r>
        <r>
          <rPr>
            <b/>
            <sz val="8"/>
            <color indexed="81"/>
            <rFont val="Tahoma"/>
            <family val="2"/>
            <charset val="204"/>
          </rPr>
          <t>11,8-</t>
        </r>
        <r>
          <rPr>
            <sz val="8"/>
            <color indexed="81"/>
            <rFont val="Tahoma"/>
            <family val="2"/>
            <charset val="204"/>
          </rPr>
          <t xml:space="preserve"> установлено 7 случаев выдачи денежных средств под отчет при наличии задолженности подотчетных лиц по ранее выданному авансу
</t>
        </r>
        <r>
          <rPr>
            <b/>
            <sz val="8"/>
            <color indexed="81"/>
            <rFont val="Tahoma"/>
            <family val="2"/>
            <charset val="204"/>
          </rPr>
          <t>2,7</t>
        </r>
        <r>
          <rPr>
            <sz val="8"/>
            <color indexed="81"/>
            <rFont val="Tahoma"/>
            <family val="2"/>
            <charset val="204"/>
          </rPr>
          <t xml:space="preserve">- 2 случая отсутствия актов о возврате денежных сумм покупателям по неиспользованным кассовым чекам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 xml:space="preserve">-недоначисленная з/п
</t>
        </r>
        <r>
          <rPr>
            <b/>
            <sz val="8"/>
            <color indexed="81"/>
            <rFont val="Tahoma"/>
            <family val="2"/>
            <charset val="204"/>
          </rPr>
          <t>183434</t>
        </r>
        <r>
          <rPr>
            <sz val="8"/>
            <color indexed="81"/>
            <rFont val="Tahoma"/>
            <family val="2"/>
            <charset val="204"/>
          </rPr>
          <t xml:space="preserve"> - искажение ы ф.1
</t>
        </r>
        <r>
          <rPr>
            <b/>
            <sz val="8"/>
            <color indexed="81"/>
            <rFont val="Tahoma"/>
            <family val="2"/>
            <charset val="204"/>
          </rPr>
          <t>20993</t>
        </r>
        <r>
          <rPr>
            <sz val="8"/>
            <color indexed="81"/>
            <rFont val="Tahoma"/>
            <family val="2"/>
            <charset val="204"/>
          </rPr>
          <t>-искажение в ф.2</t>
        </r>
      </text>
    </comment>
    <comment ref="T18" authorId="1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Отразить по данным бухгалтерского учета сумму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тыс. рублей</t>
        </r>
        <r>
          <rPr>
            <sz val="8"/>
            <color indexed="81"/>
            <rFont val="Tahoma"/>
            <family val="2"/>
            <charset val="204"/>
          </rPr>
          <t>), сумму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тыс. рублей</t>
        </r>
        <r>
          <rPr>
            <sz val="8"/>
            <color indexed="81"/>
            <rFont val="Tahoma"/>
            <family val="2"/>
            <charset val="204"/>
          </rPr>
          <t>), сумму комиссии Операторов по сбору платежей отнести на расчеты с Компаниями (</t>
        </r>
        <r>
          <rPr>
            <b/>
            <sz val="8"/>
            <color indexed="81"/>
            <rFont val="Tahoma"/>
            <family val="2"/>
            <charset val="204"/>
          </rPr>
          <t>3 549,0 тыс. рублей</t>
        </r>
        <r>
          <rPr>
            <sz val="8"/>
            <color indexed="81"/>
            <rFont val="Tahoma"/>
            <family val="2"/>
            <charset val="204"/>
          </rPr>
          <t>). Суммы,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тыс. рублей</t>
        </r>
        <r>
          <rPr>
            <sz val="8"/>
            <color indexed="81"/>
            <rFont val="Tahoma"/>
            <family val="2"/>
            <charset val="204"/>
          </rPr>
          <t xml:space="preserve">) относить на взаиморасчеты с ними.
</t>
        </r>
        <r>
          <rPr>
            <b/>
            <sz val="8"/>
            <color indexed="81"/>
            <rFont val="Tahoma"/>
            <family val="2"/>
            <charset val="204"/>
          </rPr>
          <t>275,1т.р.</t>
        </r>
        <r>
          <rPr>
            <sz val="8"/>
            <color indexed="81"/>
            <rFont val="Tahoma"/>
            <family val="2"/>
            <charset val="204"/>
          </rPr>
          <t xml:space="preserve">-пересчетать вознаграждение за учет платежей населения по договоам с Компаниями
</t>
        </r>
        <r>
          <rPr>
            <b/>
            <sz val="8"/>
            <color indexed="81"/>
            <rFont val="Tahoma"/>
            <family val="2"/>
            <charset val="204"/>
          </rPr>
          <t>1011,9 т.р.-</t>
        </r>
        <r>
          <rPr>
            <sz val="8"/>
            <color indexed="81"/>
            <rFont val="Tahoma"/>
            <family val="2"/>
            <charset val="204"/>
          </rPr>
          <t xml:space="preserve">-установить причину отклонений в суммах удержанной комиссии за услуги по сбору и зачислению квартплаты от населения
</t>
        </r>
        <r>
          <rPr>
            <b/>
            <sz val="8"/>
            <color indexed="81"/>
            <rFont val="Tahoma"/>
            <family val="2"/>
            <charset val="204"/>
          </rPr>
          <t>440+291,7</t>
        </r>
        <r>
          <rPr>
            <sz val="8"/>
            <color indexed="81"/>
            <rFont val="Tahoma"/>
            <family val="2"/>
            <charset val="204"/>
          </rPr>
          <t xml:space="preserve">-взыскать с ООО"ГРКЦ" сумму недополученного дохода от использования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323,6+81,1</t>
        </r>
        <r>
          <rPr>
            <sz val="8"/>
            <color indexed="81"/>
            <rFont val="Tahoma"/>
            <family val="2"/>
            <charset val="204"/>
          </rPr>
          <t xml:space="preserve"> - взыскать с ООО "Управление жильем" сумму недополученного дохода за использование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3,3</t>
        </r>
        <r>
          <rPr>
            <sz val="8"/>
            <color indexed="81"/>
            <rFont val="Tahoma"/>
            <family val="2"/>
            <charset val="204"/>
          </rPr>
          <t xml:space="preserve">-оплата за кофе-машину Кириным
47-взыскать с ЧП Задорожная Т.С. и ООО "Престиж" сумму задолженности за содержание части здания по адресу: ул. Амурская. 201/2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-рассмотреть вопрос о целесообразности дальнейшего использования в работе киоска сенсорного «Корсар»
</t>
        </r>
        <r>
          <rPr>
            <b/>
            <sz val="8"/>
            <color indexed="81"/>
            <rFont val="Tahoma"/>
            <family val="2"/>
            <charset val="204"/>
          </rPr>
          <t>13351,3</t>
        </r>
        <r>
          <rPr>
            <sz val="8"/>
            <color indexed="81"/>
            <rFont val="Tahoma"/>
            <family val="2"/>
            <charset val="204"/>
          </rPr>
          <t xml:space="preserve">-излишки ОС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Восстановить в бухучете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отразить прирост стоимости активов, полученных безвозмездно на сч.98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 подписать аванс отчеты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 - подписать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U18" authorId="1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Отражена по данным бухгалтерского учета сумма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т. р.</t>
        </r>
        <r>
          <rPr>
            <sz val="8"/>
            <color indexed="81"/>
            <rFont val="Tahoma"/>
            <family val="2"/>
            <charset val="204"/>
          </rPr>
          <t>), сумма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т. р.</t>
        </r>
        <r>
          <rPr>
            <sz val="8"/>
            <color indexed="81"/>
            <rFont val="Tahoma"/>
            <family val="2"/>
            <charset val="204"/>
          </rPr>
          <t>), сумма,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т. р.</t>
        </r>
        <r>
          <rPr>
            <sz val="8"/>
            <color indexed="81"/>
            <rFont val="Tahoma"/>
            <family val="2"/>
            <charset val="204"/>
          </rPr>
          <t>) относена на взаиморасчеты с ними.
Произведен перерасчет вознаграждения за учет платежей населения по договоам с Компаниями-</t>
        </r>
        <r>
          <rPr>
            <b/>
            <sz val="8"/>
            <color indexed="81"/>
            <rFont val="Tahoma"/>
            <family val="2"/>
            <charset val="204"/>
          </rPr>
          <t>275,1т.р.
3,3-</t>
        </r>
        <r>
          <rPr>
            <sz val="8"/>
            <color indexed="81"/>
            <rFont val="Tahoma"/>
            <family val="2"/>
            <charset val="204"/>
          </rPr>
          <t xml:space="preserve">оплата за кофе-машину Кириным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 - введен в экспуатацию киоск сенснорный "Корсар"
</t>
        </r>
        <r>
          <rPr>
            <b/>
            <sz val="8"/>
            <color indexed="81"/>
            <rFont val="Tahoma"/>
            <family val="2"/>
            <charset val="204"/>
          </rPr>
          <t>47</t>
        </r>
        <r>
          <rPr>
            <sz val="8"/>
            <color indexed="81"/>
            <rFont val="Tahoma"/>
            <family val="2"/>
            <charset val="204"/>
          </rPr>
          <t xml:space="preserve">-оплачено ЧП Задорожная Т.С. и ООО "Престиж"  за содержание части здания по адресу: ул. Амурская. 201/2
</t>
        </r>
        <r>
          <rPr>
            <b/>
            <sz val="8"/>
            <color indexed="81"/>
            <rFont val="Tahoma"/>
            <family val="2"/>
            <charset val="204"/>
          </rPr>
          <t xml:space="preserve">13351,3 </t>
        </r>
        <r>
          <rPr>
            <sz val="8"/>
            <color indexed="81"/>
            <rFont val="Tahoma"/>
            <family val="2"/>
            <charset val="204"/>
          </rPr>
          <t xml:space="preserve">-оприходованы излишки ОС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восстановленные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</t>
        </r>
        <r>
          <rPr>
            <sz val="8"/>
            <color indexed="81"/>
            <rFont val="Tahoma"/>
            <family val="2"/>
            <charset val="204"/>
          </rPr>
          <t xml:space="preserve">-отражен прирост стоимости безвозмездно полученных активов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 - авансовые отчеты подписаны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- подписаны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G19" authorId="3">
      <text>
        <r>
          <rPr>
            <b/>
            <sz val="8"/>
            <color indexed="81"/>
            <rFont val="Tahoma"/>
            <family val="2"/>
            <charset val="204"/>
          </rPr>
          <t>Конс1:</t>
        </r>
        <r>
          <rPr>
            <sz val="8"/>
            <color indexed="81"/>
            <rFont val="Tahoma"/>
            <family val="2"/>
            <charset val="204"/>
          </rPr>
          <t xml:space="preserve">
Доведено ЛБО на конец года
</t>
        </r>
      </text>
    </comment>
    <comment ref="V19" authorId="3">
      <text>
        <r>
          <rPr>
            <b/>
            <sz val="8"/>
            <color indexed="81"/>
            <rFont val="Tahoma"/>
            <family val="2"/>
            <charset val="204"/>
          </rPr>
          <t>Конс1:</t>
        </r>
        <r>
          <rPr>
            <sz val="8"/>
            <color indexed="81"/>
            <rFont val="Tahoma"/>
            <family val="2"/>
            <charset val="204"/>
          </rPr>
          <t xml:space="preserve">
75,4+27+36
</t>
        </r>
      </text>
    </comment>
  </commentList>
</comments>
</file>

<file path=xl/comments3.xml><?xml version="1.0" encoding="utf-8"?>
<comments xmlns="http://schemas.openxmlformats.org/spreadsheetml/2006/main">
  <authors>
    <author>Аудитор 2</author>
  </authors>
  <commentList>
    <comment ref="O9" authorId="0">
      <text>
        <r>
          <rPr>
            <i/>
            <sz val="8"/>
            <color indexed="81"/>
            <rFont val="Tahoma"/>
            <family val="2"/>
            <charset val="204"/>
          </rPr>
          <t>Аудитор 2:</t>
        </r>
        <r>
          <rPr>
            <b/>
            <i/>
            <sz val="8"/>
            <color indexed="81"/>
            <rFont val="Tahoma"/>
            <family val="2"/>
            <charset val="204"/>
          </rPr>
          <t xml:space="preserve">
без учета нарушений по мун. заказубез учета нарушений по мун.заказу
</t>
        </r>
      </text>
    </comment>
  </commentList>
</comments>
</file>

<file path=xl/comments4.xml><?xml version="1.0" encoding="utf-8"?>
<comments xmlns="http://schemas.openxmlformats.org/spreadsheetml/2006/main">
  <authors>
    <author>cons2</author>
    <author>Ульянич</author>
  </authors>
  <commentList>
    <comment ref="L29" authorId="0">
      <text>
        <r>
          <rPr>
            <sz val="8"/>
            <color indexed="81"/>
            <rFont val="Tahoma"/>
            <family val="2"/>
            <charset val="204"/>
          </rPr>
          <t xml:space="preserve">просроченная задолженность за пользование жилыми помещениями муниципального жилищного фонда по состоянию на 01.06.2011 </t>
        </r>
        <r>
          <rPr>
            <b/>
            <sz val="8"/>
            <color indexed="81"/>
            <rFont val="Tahoma"/>
            <family val="2"/>
            <charset val="204"/>
          </rPr>
          <t xml:space="preserve">- 677,9 т. руб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ул. 50 лет Октября 6/1</t>
        </r>
        <r>
          <rPr>
            <b/>
            <sz val="8"/>
            <color indexed="81"/>
            <rFont val="Tahoma"/>
            <family val="2"/>
            <charset val="204"/>
          </rPr>
          <t xml:space="preserve">- 440,0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п. Моховая Падь</t>
        </r>
        <r>
          <rPr>
            <b/>
            <sz val="8"/>
            <color indexed="81"/>
            <rFont val="Tahoma"/>
            <family val="2"/>
            <charset val="204"/>
          </rPr>
          <t xml:space="preserve"> - 291,7 т.руб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 - 3,3 т.руб.
</t>
        </r>
        <r>
          <rPr>
            <sz val="8"/>
            <color indexed="81"/>
            <rFont val="Tahoma"/>
            <family val="2"/>
            <charset val="204"/>
          </rPr>
          <t xml:space="preserve">недополученный доход от неиспользования муниципального имущества ул. Красноармейская, 65 </t>
        </r>
        <r>
          <rPr>
            <b/>
            <sz val="8"/>
            <color indexed="81"/>
            <rFont val="Tahoma"/>
            <family val="2"/>
            <charset val="204"/>
          </rPr>
          <t xml:space="preserve">-376,9 т.руб.
</t>
        </r>
        <r>
          <rPr>
            <sz val="8"/>
            <color indexed="81"/>
            <rFont val="Tahoma"/>
            <family val="2"/>
            <charset val="204"/>
          </rPr>
          <t>не используется в работе (с декабря 2010 г.) киоск сенсорный "Корсар</t>
        </r>
        <r>
          <rPr>
            <b/>
            <sz val="8"/>
            <color indexed="81"/>
            <rFont val="Tahoma"/>
            <family val="2"/>
            <charset val="204"/>
          </rPr>
          <t xml:space="preserve">"-82,5 т.руб. </t>
        </r>
        <r>
          <rPr>
            <sz val="8"/>
            <color indexed="81"/>
            <rFont val="Tahoma"/>
            <family val="2"/>
            <charset val="204"/>
          </rPr>
          <t xml:space="preserve">и автомобиль ГАЗ-3110 </t>
        </r>
        <r>
          <rPr>
            <b/>
            <sz val="8"/>
            <color indexed="81"/>
            <rFont val="Tahoma"/>
            <family val="2"/>
            <charset val="204"/>
          </rPr>
          <t xml:space="preserve">-292,6 т.руб.
</t>
        </r>
        <r>
          <rPr>
            <sz val="8"/>
            <color indexed="81"/>
            <rFont val="Tahoma"/>
            <family val="2"/>
            <charset val="204"/>
          </rPr>
          <t>убытки от неиспользуемого здания ул. Амурская, 201/2</t>
        </r>
        <r>
          <rPr>
            <b/>
            <sz val="8"/>
            <color indexed="81"/>
            <rFont val="Tahoma"/>
            <family val="2"/>
            <charset val="204"/>
          </rPr>
          <t xml:space="preserve"> - 311,5 т.руб.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29" authorId="1">
      <text>
        <r>
          <rPr>
            <sz val="8"/>
            <color indexed="81"/>
            <rFont val="Tahoma"/>
            <family val="2"/>
            <charset val="204"/>
          </rPr>
          <t xml:space="preserve">В составе основных средств не числится имущество на общую сумму 13 351,3 т. р. </t>
        </r>
      </text>
    </comment>
    <comment ref="Q29" authorId="0">
      <text>
        <r>
          <rPr>
            <b/>
            <sz val="8"/>
            <color indexed="81"/>
            <rFont val="Tahoma"/>
            <family val="2"/>
            <charset val="204"/>
          </rPr>
          <t>3549-</t>
        </r>
        <r>
          <rPr>
            <sz val="8"/>
            <color indexed="81"/>
            <rFont val="Tahoma"/>
            <family val="2"/>
            <charset val="204"/>
          </rPr>
          <t>невозмещеные расходы по зачислению средств на транзитный счет</t>
        </r>
        <r>
          <rPr>
            <b/>
            <sz val="8"/>
            <color indexed="81"/>
            <rFont val="Tahoma"/>
            <family val="2"/>
            <charset val="204"/>
          </rPr>
          <t xml:space="preserve">
275,1-</t>
        </r>
        <r>
          <rPr>
            <sz val="8"/>
            <color indexed="81"/>
            <rFont val="Tahoma"/>
            <family val="2"/>
            <charset val="204"/>
          </rPr>
          <t xml:space="preserve">сумма недополученного дохода от неверного расчета вознаграждения
</t>
        </r>
        <r>
          <rPr>
            <b/>
            <sz val="8"/>
            <color indexed="81"/>
            <rFont val="Tahoma"/>
            <family val="2"/>
            <charset val="204"/>
          </rPr>
          <t>1011,8 т.р</t>
        </r>
        <r>
          <rPr>
            <sz val="8"/>
            <color indexed="81"/>
            <rFont val="Tahoma"/>
            <family val="2"/>
            <charset val="204"/>
          </rPr>
          <t xml:space="preserve">. завышение затрат от неверного исчисления комиссии операторам 
</t>
        </r>
        <r>
          <rPr>
            <b/>
            <sz val="8"/>
            <color indexed="81"/>
            <rFont val="Tahoma"/>
            <family val="2"/>
            <charset val="204"/>
          </rPr>
          <t>898,5 т.р.</t>
        </r>
        <r>
          <rPr>
            <sz val="8"/>
            <color indexed="81"/>
            <rFont val="Tahoma"/>
            <family val="2"/>
            <charset val="204"/>
          </rPr>
          <t xml:space="preserve">-приняты расходы за прием платежей без заключенных договоров с ОАО «Востоккредитбанк» и ООО "Платежные системы РНКО"
оплата коммунальных услуг, приходящихся на содержание помещений. занимаемых другими организациями - </t>
        </r>
        <r>
          <rPr>
            <b/>
            <sz val="8"/>
            <color indexed="81"/>
            <rFont val="Tahoma"/>
            <family val="2"/>
            <charset val="204"/>
          </rPr>
          <t>323,6</t>
        </r>
        <r>
          <rPr>
            <sz val="8"/>
            <color indexed="81"/>
            <rFont val="Tahoma"/>
            <family val="2"/>
            <charset val="204"/>
          </rPr>
          <t xml:space="preserve"> т.р.+</t>
        </r>
        <r>
          <rPr>
            <b/>
            <sz val="8"/>
            <color indexed="81"/>
            <rFont val="Tahoma"/>
            <family val="2"/>
            <charset val="204"/>
          </rPr>
          <t xml:space="preserve">81,1т.р.+35,7т.р.+11,3т.р.
</t>
        </r>
        <r>
          <rPr>
            <b/>
            <sz val="8"/>
            <color indexed="81"/>
            <rFont val="Tahoma"/>
            <family val="2"/>
            <charset val="204"/>
          </rPr>
          <t>31,9-</t>
        </r>
        <r>
          <rPr>
            <sz val="8"/>
            <color indexed="81"/>
            <rFont val="Tahoma"/>
            <family val="2"/>
            <charset val="204"/>
          </rPr>
          <t>произведены необоснованные расходы на ремонт автомобиля</t>
        </r>
        <r>
          <rPr>
            <b/>
            <sz val="8"/>
            <color indexed="81"/>
            <rFont val="Tahoma"/>
            <family val="2"/>
            <charset val="204"/>
          </rPr>
          <t xml:space="preserve"> 
22,8-</t>
        </r>
        <r>
          <rPr>
            <sz val="8"/>
            <color indexed="81"/>
            <rFont val="Tahoma"/>
            <family val="2"/>
            <charset val="204"/>
          </rPr>
          <t xml:space="preserve">имеются случаи необоснованного списания МПЗ (оформления хозяйственных операций на основании первичных документов оформленных не соответствующим образом) 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S2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1381675 </t>
        </r>
        <r>
          <rPr>
            <sz val="8"/>
            <color indexed="81"/>
            <rFont val="Tahoma"/>
            <family val="2"/>
            <charset val="204"/>
          </rPr>
          <t xml:space="preserve">-необоснованная кредиторская задолженность в сумме 337 485,5 тыс. рублей, дебиторская задолженность в сумме 325 618,3 тыс. рублей, неотраженые расчеты с населением за оказанные услуги на сумму 379 526,1 тыс. рублей и расчеты с операторами по сбору платежей на сумму 339 045,1 тыс. рублей.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-yеверно в качестве материалов оприходованы нематериальные активы 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не верное отражение в бухучете прироста стоимости активов, полученных Предприятием безвозмездно 
</t>
        </r>
        <r>
          <rPr>
            <b/>
            <sz val="8"/>
            <color indexed="81"/>
            <rFont val="Tahoma"/>
            <family val="2"/>
            <charset val="204"/>
          </rPr>
          <t>9,6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отраженное начисление арендной платы за использование автомобиля
</t>
        </r>
        <r>
          <rPr>
            <b/>
            <sz val="8"/>
            <color indexed="81"/>
            <rFont val="Tahoma"/>
            <family val="2"/>
            <charset val="204"/>
          </rPr>
          <t>1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отражено начисление транспортного налога 
</t>
        </r>
        <r>
          <rPr>
            <b/>
            <sz val="8"/>
            <color indexed="81"/>
            <rFont val="Tahoma"/>
            <family val="2"/>
            <charset val="204"/>
          </rPr>
          <t>4,4</t>
        </r>
        <r>
          <rPr>
            <sz val="8"/>
            <color indexed="81"/>
            <rFont val="Tahoma"/>
            <family val="2"/>
            <charset val="204"/>
          </rPr>
          <t xml:space="preserve">-отсутствие в первичных документах подписи материально-ответственных лиц 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-отсутствия подписи лиц, ответственных за совершение хозяйственной операции (подотчетного лиц, главного бухгалтера, директора) в 16 авансовых отчетах
</t>
        </r>
        <r>
          <rPr>
            <b/>
            <sz val="8"/>
            <color indexed="81"/>
            <rFont val="Tahoma"/>
            <family val="2"/>
            <charset val="204"/>
          </rPr>
          <t>476,6</t>
        </r>
        <r>
          <rPr>
            <sz val="8"/>
            <color indexed="81"/>
            <rFont val="Tahoma"/>
            <family val="2"/>
            <charset val="204"/>
          </rPr>
          <t xml:space="preserve"> - несоответствие данных синтетического учета (Главной книги) по счету 70 «Расчеты с персоналом по оплате труда»  данным аналитического учета (сводной ведомости по видам оплат и удержаний) 
</t>
        </r>
        <r>
          <rPr>
            <b/>
            <sz val="8"/>
            <color indexed="81"/>
            <rFont val="Tahoma"/>
            <family val="2"/>
            <charset val="204"/>
          </rPr>
          <t>11,8-</t>
        </r>
        <r>
          <rPr>
            <sz val="8"/>
            <color indexed="81"/>
            <rFont val="Tahoma"/>
            <family val="2"/>
            <charset val="204"/>
          </rPr>
          <t xml:space="preserve"> установлено 7 случаев выдачи денежных средств под отчет при наличии задолженности подотчетных лиц по ранее выданному авансу
</t>
        </r>
        <r>
          <rPr>
            <b/>
            <sz val="8"/>
            <color indexed="81"/>
            <rFont val="Tahoma"/>
            <family val="2"/>
            <charset val="204"/>
          </rPr>
          <t>2,7</t>
        </r>
        <r>
          <rPr>
            <sz val="8"/>
            <color indexed="81"/>
            <rFont val="Tahoma"/>
            <family val="2"/>
            <charset val="204"/>
          </rPr>
          <t xml:space="preserve">- 2 случая отсутствия актов о возврате денежных сумм покупателям по неиспользованным кассовым чекам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 xml:space="preserve">-недоначисленная з/п
</t>
        </r>
        <r>
          <rPr>
            <b/>
            <sz val="8"/>
            <color indexed="81"/>
            <rFont val="Tahoma"/>
            <family val="2"/>
            <charset val="204"/>
          </rPr>
          <t>183434</t>
        </r>
        <r>
          <rPr>
            <sz val="8"/>
            <color indexed="81"/>
            <rFont val="Tahoma"/>
            <family val="2"/>
            <charset val="204"/>
          </rPr>
          <t xml:space="preserve"> - искажение ы ф.1
</t>
        </r>
        <r>
          <rPr>
            <b/>
            <sz val="8"/>
            <color indexed="81"/>
            <rFont val="Tahoma"/>
            <family val="2"/>
            <charset val="204"/>
          </rPr>
          <t>20993</t>
        </r>
        <r>
          <rPr>
            <sz val="8"/>
            <color indexed="81"/>
            <rFont val="Tahoma"/>
            <family val="2"/>
            <charset val="204"/>
          </rPr>
          <t>-искажение в ф.2</t>
        </r>
      </text>
    </comment>
    <comment ref="T29" authorId="0">
      <text>
        <r>
          <rPr>
            <sz val="8"/>
            <color indexed="81"/>
            <rFont val="Tahoma"/>
            <family val="2"/>
            <charset val="204"/>
          </rPr>
          <t>Отразить по данным бухгалтерского учета сумму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тыс. рублей</t>
        </r>
        <r>
          <rPr>
            <sz val="8"/>
            <color indexed="81"/>
            <rFont val="Tahoma"/>
            <family val="2"/>
            <charset val="204"/>
          </rPr>
          <t>), сумму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тыс. рублей</t>
        </r>
        <r>
          <rPr>
            <sz val="8"/>
            <color indexed="81"/>
            <rFont val="Tahoma"/>
            <family val="2"/>
            <charset val="204"/>
          </rPr>
          <t>), сумму комиссии Операторов по сбору платежей отнести на расчеты с Компаниями (</t>
        </r>
        <r>
          <rPr>
            <b/>
            <sz val="8"/>
            <color indexed="81"/>
            <rFont val="Tahoma"/>
            <family val="2"/>
            <charset val="204"/>
          </rPr>
          <t>3 549,0 тыс. рублей</t>
        </r>
        <r>
          <rPr>
            <sz val="8"/>
            <color indexed="81"/>
            <rFont val="Tahoma"/>
            <family val="2"/>
            <charset val="204"/>
          </rPr>
          <t>). Суммы,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тыс. рублей</t>
        </r>
        <r>
          <rPr>
            <sz val="8"/>
            <color indexed="81"/>
            <rFont val="Tahoma"/>
            <family val="2"/>
            <charset val="204"/>
          </rPr>
          <t xml:space="preserve">) относить на взаиморасчеты с ними.
</t>
        </r>
        <r>
          <rPr>
            <b/>
            <sz val="8"/>
            <color indexed="81"/>
            <rFont val="Tahoma"/>
            <family val="2"/>
            <charset val="204"/>
          </rPr>
          <t>275,1т.р.</t>
        </r>
        <r>
          <rPr>
            <sz val="8"/>
            <color indexed="81"/>
            <rFont val="Tahoma"/>
            <family val="2"/>
            <charset val="204"/>
          </rPr>
          <t xml:space="preserve">-пересчетать вознаграждение за учет платежей населения по договоам с Компаниями
</t>
        </r>
        <r>
          <rPr>
            <b/>
            <sz val="8"/>
            <color indexed="81"/>
            <rFont val="Tahoma"/>
            <family val="2"/>
            <charset val="204"/>
          </rPr>
          <t>1011,9 т.р.-</t>
        </r>
        <r>
          <rPr>
            <sz val="8"/>
            <color indexed="81"/>
            <rFont val="Tahoma"/>
            <family val="2"/>
            <charset val="204"/>
          </rPr>
          <t xml:space="preserve">-установить причину отклонений в суммах удержанной комиссии за услуги по сбору и зачислению квартплаты от населения
</t>
        </r>
        <r>
          <rPr>
            <b/>
            <sz val="8"/>
            <color indexed="81"/>
            <rFont val="Tahoma"/>
            <family val="2"/>
            <charset val="204"/>
          </rPr>
          <t>440+291,7</t>
        </r>
        <r>
          <rPr>
            <sz val="8"/>
            <color indexed="81"/>
            <rFont val="Tahoma"/>
            <family val="2"/>
            <charset val="204"/>
          </rPr>
          <t xml:space="preserve">-взыскать с ООО"ГРКЦ" сумму недополученного дохода от использования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323,6+81,1</t>
        </r>
        <r>
          <rPr>
            <sz val="8"/>
            <color indexed="81"/>
            <rFont val="Tahoma"/>
            <family val="2"/>
            <charset val="204"/>
          </rPr>
          <t xml:space="preserve"> - взыскать с ООО "Управление жильем" сумму недополученного дохода за использование муниципального имущества и сумму затрат на оплату коммун платежей
</t>
        </r>
        <r>
          <rPr>
            <b/>
            <sz val="8"/>
            <color indexed="81"/>
            <rFont val="Tahoma"/>
            <family val="2"/>
            <charset val="204"/>
          </rPr>
          <t>3,3</t>
        </r>
        <r>
          <rPr>
            <sz val="8"/>
            <color indexed="81"/>
            <rFont val="Tahoma"/>
            <family val="2"/>
            <charset val="204"/>
          </rPr>
          <t xml:space="preserve">-оплата за кофе-машину Кириным
47-взыскать с ЧП Задорожная Т.С. и ООО "Престиж" сумму задолженности за содержание части здания по адресу: ул. Амурская. 201/2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-рассмотреть вопрос о целесообразности дальнейшего использования в работе киоска сенсорного «Корсар»
</t>
        </r>
        <r>
          <rPr>
            <b/>
            <sz val="8"/>
            <color indexed="81"/>
            <rFont val="Tahoma"/>
            <family val="2"/>
            <charset val="204"/>
          </rPr>
          <t>13351,3</t>
        </r>
        <r>
          <rPr>
            <sz val="8"/>
            <color indexed="81"/>
            <rFont val="Tahoma"/>
            <family val="2"/>
            <charset val="204"/>
          </rPr>
          <t xml:space="preserve">-излишки ОС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Восстановить в бухучете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отразить прирост стоимости активов, полученных безвозмездно на сч.98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 подписать аванс отчеты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 - подписать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U29" authorId="0">
      <text>
        <r>
          <rPr>
            <sz val="8"/>
            <color indexed="81"/>
            <rFont val="Tahoma"/>
            <family val="2"/>
            <charset val="204"/>
          </rPr>
          <t>Отражена по данным бухгалтерского учета сумма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т. р.</t>
        </r>
        <r>
          <rPr>
            <sz val="8"/>
            <color indexed="81"/>
            <rFont val="Tahoma"/>
            <family val="2"/>
            <charset val="204"/>
          </rPr>
          <t>), сумма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т. р.</t>
        </r>
        <r>
          <rPr>
            <sz val="8"/>
            <color indexed="81"/>
            <rFont val="Tahoma"/>
            <family val="2"/>
            <charset val="204"/>
          </rPr>
          <t>), сумма,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т. р.</t>
        </r>
        <r>
          <rPr>
            <sz val="8"/>
            <color indexed="81"/>
            <rFont val="Tahoma"/>
            <family val="2"/>
            <charset val="204"/>
          </rPr>
          <t>) относена на взаиморасчеты с ними.
Произведен перерасчет вознаграждения за учет платежей населения по договоам с Компаниями-</t>
        </r>
        <r>
          <rPr>
            <b/>
            <sz val="8"/>
            <color indexed="81"/>
            <rFont val="Tahoma"/>
            <family val="2"/>
            <charset val="204"/>
          </rPr>
          <t>275,1т.р.
3,3-</t>
        </r>
        <r>
          <rPr>
            <sz val="8"/>
            <color indexed="81"/>
            <rFont val="Tahoma"/>
            <family val="2"/>
            <charset val="204"/>
          </rPr>
          <t xml:space="preserve">оплата за кофе-машину Кириным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 - введен в экспуатацию киоск сенснорный "Корсар"
</t>
        </r>
        <r>
          <rPr>
            <b/>
            <sz val="8"/>
            <color indexed="81"/>
            <rFont val="Tahoma"/>
            <family val="2"/>
            <charset val="204"/>
          </rPr>
          <t xml:space="preserve">13351,3 </t>
        </r>
        <r>
          <rPr>
            <sz val="8"/>
            <color indexed="81"/>
            <rFont val="Tahoma"/>
            <family val="2"/>
            <charset val="204"/>
          </rPr>
          <t xml:space="preserve">-оприходованы излишки ОС
</t>
        </r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восстановленные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</t>
        </r>
        <r>
          <rPr>
            <sz val="8"/>
            <color indexed="81"/>
            <rFont val="Tahoma"/>
            <family val="2"/>
            <charset val="204"/>
          </rPr>
          <t xml:space="preserve">-отражен прирост стоимости безвозмездно полученных активов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 - авансовые отчеты подписаны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- подписаны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Q30" authorId="0">
      <text>
        <r>
          <rPr>
            <b/>
            <sz val="8"/>
            <color indexed="81"/>
            <rFont val="Tahoma"/>
            <family val="2"/>
            <charset val="204"/>
          </rPr>
          <t>22,8-</t>
        </r>
        <r>
          <rPr>
            <sz val="8"/>
            <color indexed="81"/>
            <rFont val="Tahoma"/>
            <family val="2"/>
            <charset val="204"/>
          </rPr>
          <t xml:space="preserve">имеются случаи необоснованного списания МПЗ (оформления хозяйственных операций на основании первичных документов оформленных не соответствующим образом) 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S30" authorId="0">
      <text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-yеверно в качестве материалов оприходованы нематериальные активы 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не верное отражение в бухучете прироста стоимости активов, полученных Предприятием безвозмездно 
</t>
        </r>
        <r>
          <rPr>
            <b/>
            <sz val="8"/>
            <color indexed="81"/>
            <rFont val="Tahoma"/>
            <family val="2"/>
            <charset val="204"/>
          </rPr>
          <t>9,6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отраженное начисление арендной платы за использование автомобиля
</t>
        </r>
        <r>
          <rPr>
            <b/>
            <sz val="8"/>
            <color indexed="81"/>
            <rFont val="Tahoma"/>
            <family val="2"/>
            <charset val="204"/>
          </rPr>
          <t>1</t>
        </r>
        <r>
          <rPr>
            <sz val="8"/>
            <color indexed="81"/>
            <rFont val="Tahoma"/>
            <family val="2"/>
            <charset val="204"/>
          </rPr>
          <t xml:space="preserve">-неверно отражено начисление транспортного налога 
</t>
        </r>
        <r>
          <rPr>
            <b/>
            <sz val="8"/>
            <color indexed="81"/>
            <rFont val="Tahoma"/>
            <family val="2"/>
            <charset val="204"/>
          </rPr>
          <t>4,4</t>
        </r>
        <r>
          <rPr>
            <sz val="8"/>
            <color indexed="81"/>
            <rFont val="Tahoma"/>
            <family val="2"/>
            <charset val="204"/>
          </rPr>
          <t xml:space="preserve">-отсутствие в первичных документах подписи материально-ответственных лиц 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-отсутствия подписи лиц, ответственных за совершение хозяйственной операции (подотчетного лиц, главного бухгалтера, директора) в 16 авансовых отчетах
</t>
        </r>
        <r>
          <rPr>
            <b/>
            <sz val="8"/>
            <color indexed="81"/>
            <rFont val="Tahoma"/>
            <family val="2"/>
            <charset val="204"/>
          </rPr>
          <t>476,6</t>
        </r>
        <r>
          <rPr>
            <sz val="8"/>
            <color indexed="81"/>
            <rFont val="Tahoma"/>
            <family val="2"/>
            <charset val="204"/>
          </rPr>
          <t xml:space="preserve"> - несоответствие данных синтетического учета (Главной книги) по счету 70 «Расчеты с персоналом по оплате труда»  данным аналитического учета (сводной ведомости по видам оплат и удержаний) 
</t>
        </r>
        <r>
          <rPr>
            <b/>
            <sz val="8"/>
            <color indexed="81"/>
            <rFont val="Tahoma"/>
            <family val="2"/>
            <charset val="204"/>
          </rPr>
          <t>11,8-</t>
        </r>
        <r>
          <rPr>
            <sz val="8"/>
            <color indexed="81"/>
            <rFont val="Tahoma"/>
            <family val="2"/>
            <charset val="204"/>
          </rPr>
          <t xml:space="preserve"> установлено 7 случаев выдачи денежных средств под отчет при наличии задолженности подотчетных лиц по ранее выданному авансу
</t>
        </r>
        <r>
          <rPr>
            <b/>
            <sz val="8"/>
            <color indexed="81"/>
            <rFont val="Tahoma"/>
            <family val="2"/>
            <charset val="204"/>
          </rPr>
          <t>2,7</t>
        </r>
        <r>
          <rPr>
            <sz val="8"/>
            <color indexed="81"/>
            <rFont val="Tahoma"/>
            <family val="2"/>
            <charset val="204"/>
          </rPr>
          <t xml:space="preserve">- 2 случая отсутствия актов о возврате денежных сумм покупателям по неиспользованным кассовым чекам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 xml:space="preserve">-недоначисленная з/п
</t>
        </r>
        <r>
          <rPr>
            <b/>
            <sz val="8"/>
            <color indexed="81"/>
            <rFont val="Tahoma"/>
            <family val="2"/>
            <charset val="204"/>
          </rPr>
          <t>183434</t>
        </r>
        <r>
          <rPr>
            <sz val="8"/>
            <color indexed="81"/>
            <rFont val="Tahoma"/>
            <family val="2"/>
            <charset val="204"/>
          </rPr>
          <t xml:space="preserve"> - искажение ы ф.1
</t>
        </r>
        <r>
          <rPr>
            <b/>
            <sz val="8"/>
            <color indexed="81"/>
            <rFont val="Tahoma"/>
            <family val="2"/>
            <charset val="204"/>
          </rPr>
          <t>20993</t>
        </r>
        <r>
          <rPr>
            <sz val="8"/>
            <color indexed="81"/>
            <rFont val="Tahoma"/>
            <family val="2"/>
            <charset val="204"/>
          </rPr>
          <t xml:space="preserve">-искажение в ф.2
</t>
        </r>
      </text>
    </comment>
    <comment ref="T30" authorId="0">
      <text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Восстановить в бухучете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351,8-</t>
        </r>
        <r>
          <rPr>
            <sz val="8"/>
            <color indexed="81"/>
            <rFont val="Tahoma"/>
            <family val="2"/>
            <charset val="204"/>
          </rPr>
          <t xml:space="preserve">отразить прирост стоимости активов, полученных безвозмездно на сч.98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- подписать аванс отчеты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 - подписать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U30" authorId="0">
      <text>
        <r>
          <rPr>
            <b/>
            <sz val="8"/>
            <color indexed="81"/>
            <rFont val="Tahoma"/>
            <family val="2"/>
            <charset val="204"/>
          </rPr>
          <t>96,2</t>
        </r>
        <r>
          <rPr>
            <sz val="8"/>
            <color indexed="81"/>
            <rFont val="Tahoma"/>
            <family val="2"/>
            <charset val="204"/>
          </rPr>
          <t xml:space="preserve"> - восстановленные нематериальные активы
</t>
        </r>
        <r>
          <rPr>
            <b/>
            <sz val="8"/>
            <color indexed="81"/>
            <rFont val="Tahoma"/>
            <family val="2"/>
            <charset val="204"/>
          </rPr>
          <t>351,8</t>
        </r>
        <r>
          <rPr>
            <sz val="8"/>
            <color indexed="81"/>
            <rFont val="Tahoma"/>
            <family val="2"/>
            <charset val="204"/>
          </rPr>
          <t xml:space="preserve">-отражен прирост стоимости безвозмездно полученных активов
</t>
        </r>
        <r>
          <rPr>
            <b/>
            <sz val="8"/>
            <color indexed="81"/>
            <rFont val="Tahoma"/>
            <family val="2"/>
            <charset val="204"/>
          </rPr>
          <t>11</t>
        </r>
        <r>
          <rPr>
            <sz val="8"/>
            <color indexed="81"/>
            <rFont val="Tahoma"/>
            <family val="2"/>
            <charset val="204"/>
          </rPr>
          <t xml:space="preserve"> - авансовые отчеты подписаны
</t>
        </r>
        <r>
          <rPr>
            <b/>
            <sz val="8"/>
            <color indexed="81"/>
            <rFont val="Tahoma"/>
            <family val="2"/>
            <charset val="204"/>
          </rPr>
          <t>22,8</t>
        </r>
        <r>
          <rPr>
            <sz val="8"/>
            <color indexed="81"/>
            <rFont val="Tahoma"/>
            <family val="2"/>
            <charset val="204"/>
          </rPr>
          <t xml:space="preserve">- подписаны акты на списание МПЗ
</t>
        </r>
        <r>
          <rPr>
            <b/>
            <sz val="8"/>
            <color indexed="81"/>
            <rFont val="Tahoma"/>
            <family val="2"/>
            <charset val="204"/>
          </rPr>
          <t>13,7</t>
        </r>
        <r>
          <rPr>
            <sz val="8"/>
            <color indexed="81"/>
            <rFont val="Tahoma"/>
            <family val="2"/>
            <charset val="204"/>
          </rPr>
          <t>-доначислить з/п</t>
        </r>
      </text>
    </comment>
    <comment ref="L31" authorId="0">
      <text>
        <r>
          <rPr>
            <sz val="8"/>
            <color indexed="81"/>
            <rFont val="Tahoma"/>
            <family val="2"/>
            <charset val="204"/>
          </rPr>
          <t xml:space="preserve">просроченная задолженность за пользование жилыми помещениями муниципального жилищного фонда по состоянию на 01.06.2011 </t>
        </r>
        <r>
          <rPr>
            <b/>
            <sz val="8"/>
            <color indexed="81"/>
            <rFont val="Tahoma"/>
            <family val="2"/>
            <charset val="204"/>
          </rPr>
          <t xml:space="preserve">- 677,9 т. руб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8"/>
            <color indexed="81"/>
            <rFont val="Tahoma"/>
            <family val="2"/>
            <charset val="204"/>
          </rPr>
          <t>3549-</t>
        </r>
        <r>
          <rPr>
            <sz val="8"/>
            <color indexed="81"/>
            <rFont val="Tahoma"/>
            <family val="2"/>
            <charset val="204"/>
          </rPr>
          <t>невозмещеные расходы по зачислению средств на транзитный счет</t>
        </r>
        <r>
          <rPr>
            <b/>
            <sz val="8"/>
            <color indexed="81"/>
            <rFont val="Tahoma"/>
            <family val="2"/>
            <charset val="204"/>
          </rPr>
          <t xml:space="preserve">
275,1-</t>
        </r>
        <r>
          <rPr>
            <sz val="8"/>
            <color indexed="81"/>
            <rFont val="Tahoma"/>
            <family val="2"/>
            <charset val="204"/>
          </rPr>
          <t xml:space="preserve">сумма недополученного дохода от неверного расчета вознаграждения
</t>
        </r>
        <r>
          <rPr>
            <b/>
            <sz val="8"/>
            <color indexed="81"/>
            <rFont val="Tahoma"/>
            <family val="2"/>
            <charset val="204"/>
          </rPr>
          <t>1011,8 т.р</t>
        </r>
        <r>
          <rPr>
            <sz val="8"/>
            <color indexed="81"/>
            <rFont val="Tahoma"/>
            <family val="2"/>
            <charset val="204"/>
          </rPr>
          <t xml:space="preserve">. завышение затрат от неверного исчисления комиссии операторам 
</t>
        </r>
        <r>
          <rPr>
            <b/>
            <sz val="8"/>
            <color indexed="81"/>
            <rFont val="Tahoma"/>
            <family val="2"/>
            <charset val="204"/>
          </rPr>
          <t>898,5 т.р.</t>
        </r>
        <r>
          <rPr>
            <sz val="8"/>
            <color indexed="81"/>
            <rFont val="Tahoma"/>
            <family val="2"/>
            <charset val="204"/>
          </rPr>
          <t xml:space="preserve">-приняты расходы за прием платежей без заключенных договоров с ОАО «Востоккредитбанк» и ООО "Платежные системы РНКО"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1381675 </t>
        </r>
        <r>
          <rPr>
            <sz val="8"/>
            <color indexed="81"/>
            <rFont val="Tahoma"/>
            <family val="2"/>
            <charset val="204"/>
          </rPr>
          <t xml:space="preserve">-необоснованная кредиторская задолженность в сумме 337 485,5 тыс. рублей, дебиторская задолженность в сумме 325 618,3 тыс. рублей, неотраженые расчеты с населением за оказанные услуги на сумму 379 526,1 тыс. рублей и расчеты с операторами по сбору платежей на сумму 339 045,1 тыс. рублей.
</t>
        </r>
      </text>
    </comment>
    <comment ref="T31" authorId="0">
      <text>
        <r>
          <rPr>
            <sz val="8"/>
            <color indexed="81"/>
            <rFont val="Tahoma"/>
            <family val="2"/>
            <charset val="204"/>
          </rPr>
          <t>Отразить по данным бухгалтерского учета сумму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тыс. рублей</t>
        </r>
        <r>
          <rPr>
            <sz val="8"/>
            <color indexed="81"/>
            <rFont val="Tahoma"/>
            <family val="2"/>
            <charset val="204"/>
          </rPr>
          <t>), сумму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тыс. рублей</t>
        </r>
        <r>
          <rPr>
            <sz val="8"/>
            <color indexed="81"/>
            <rFont val="Tahoma"/>
            <family val="2"/>
            <charset val="204"/>
          </rPr>
          <t>), сумму комиссии Операторов по сбору платежей отнести на расчеты с Компаниями (</t>
        </r>
        <r>
          <rPr>
            <b/>
            <sz val="8"/>
            <color indexed="81"/>
            <rFont val="Tahoma"/>
            <family val="2"/>
            <charset val="204"/>
          </rPr>
          <t>3 549,0 тыс. рублей</t>
        </r>
        <r>
          <rPr>
            <sz val="8"/>
            <color indexed="81"/>
            <rFont val="Tahoma"/>
            <family val="2"/>
            <charset val="204"/>
          </rPr>
          <t>). Суммы,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тыс. рублей</t>
        </r>
        <r>
          <rPr>
            <sz val="8"/>
            <color indexed="81"/>
            <rFont val="Tahoma"/>
            <family val="2"/>
            <charset val="204"/>
          </rPr>
          <t xml:space="preserve">) относить на взаиморасчеты с ними.
</t>
        </r>
        <r>
          <rPr>
            <b/>
            <sz val="8"/>
            <color indexed="81"/>
            <rFont val="Tahoma"/>
            <family val="2"/>
            <charset val="204"/>
          </rPr>
          <t>275,1т.р.</t>
        </r>
        <r>
          <rPr>
            <sz val="8"/>
            <color indexed="81"/>
            <rFont val="Tahoma"/>
            <family val="2"/>
            <charset val="204"/>
          </rPr>
          <t xml:space="preserve">-пересчетать вознаграждение за учет платежей населения по договоам с Компаниями
</t>
        </r>
        <r>
          <rPr>
            <b/>
            <sz val="8"/>
            <color indexed="81"/>
            <rFont val="Tahoma"/>
            <family val="2"/>
            <charset val="204"/>
          </rPr>
          <t>1011,9 т.р.-</t>
        </r>
        <r>
          <rPr>
            <sz val="8"/>
            <color indexed="81"/>
            <rFont val="Tahoma"/>
            <family val="2"/>
            <charset val="204"/>
          </rPr>
          <t xml:space="preserve">-установить причину отклонений в суммах удержанной комиссии за услуги по сбору и зачислению квартплаты от населения
</t>
        </r>
      </text>
    </comment>
    <comment ref="U31" authorId="0">
      <text>
        <r>
          <rPr>
            <b/>
            <sz val="8"/>
            <color indexed="81"/>
            <rFont val="Tahoma"/>
            <family val="2"/>
            <charset val="204"/>
          </rPr>
          <t>Ульянич:</t>
        </r>
        <r>
          <rPr>
            <sz val="8"/>
            <color indexed="81"/>
            <rFont val="Tahoma"/>
            <family val="2"/>
            <charset val="204"/>
          </rPr>
          <t xml:space="preserve">
Отражена по данным бухгалтерского учета сумма начисленную населению за оказанные услуги (</t>
        </r>
        <r>
          <rPr>
            <b/>
            <sz val="8"/>
            <color indexed="81"/>
            <rFont val="Tahoma"/>
            <family val="2"/>
            <charset val="204"/>
          </rPr>
          <t>379 526 т. р.</t>
        </r>
        <r>
          <rPr>
            <sz val="8"/>
            <color indexed="81"/>
            <rFont val="Tahoma"/>
            <family val="2"/>
            <charset val="204"/>
          </rPr>
          <t>), сумма поступивших денежных средств от населения Оператору по сбору платежей (</t>
        </r>
        <r>
          <rPr>
            <b/>
            <sz val="8"/>
            <color indexed="81"/>
            <rFont val="Tahoma"/>
            <family val="2"/>
            <charset val="204"/>
          </rPr>
          <t>339 045,1 т. р.</t>
        </r>
        <r>
          <rPr>
            <sz val="8"/>
            <color indexed="81"/>
            <rFont val="Tahoma"/>
            <family val="2"/>
            <charset val="204"/>
          </rPr>
          <t>), сумма, перечисленные по поручениям Компаний (</t>
        </r>
        <r>
          <rPr>
            <b/>
            <sz val="8"/>
            <color indexed="81"/>
            <rFont val="Tahoma"/>
            <family val="2"/>
            <charset val="204"/>
          </rPr>
          <t>243 589,4 т. р.</t>
        </r>
        <r>
          <rPr>
            <sz val="8"/>
            <color indexed="81"/>
            <rFont val="Tahoma"/>
            <family val="2"/>
            <charset val="204"/>
          </rPr>
          <t>) относена на взаиморасчеты с ними.
Произведен перерасчет вознаграждения за учет платежей населения по договоам с Компаниями-</t>
        </r>
        <r>
          <rPr>
            <b/>
            <sz val="8"/>
            <color indexed="81"/>
            <rFont val="Tahoma"/>
            <family val="2"/>
            <charset val="204"/>
          </rPr>
          <t xml:space="preserve">275,1т.р.
</t>
        </r>
      </text>
    </comment>
    <comment ref="L32" authorId="0">
      <text>
        <r>
          <rPr>
            <sz val="8"/>
            <color indexed="81"/>
            <rFont val="Tahoma"/>
            <family val="2"/>
            <charset val="204"/>
          </rPr>
          <t>не используется в работе (с декабря 2010 г.) киоск сенсорный "Корсар</t>
        </r>
        <r>
          <rPr>
            <b/>
            <sz val="8"/>
            <color indexed="81"/>
            <rFont val="Tahoma"/>
            <family val="2"/>
            <charset val="204"/>
          </rPr>
          <t xml:space="preserve">"-82,5 т.руб. </t>
        </r>
        <r>
          <rPr>
            <sz val="8"/>
            <color indexed="81"/>
            <rFont val="Tahoma"/>
            <family val="2"/>
            <charset val="204"/>
          </rPr>
          <t xml:space="preserve">и автомобиль ГАЗ-3110 </t>
        </r>
        <r>
          <rPr>
            <b/>
            <sz val="8"/>
            <color indexed="81"/>
            <rFont val="Tahoma"/>
            <family val="2"/>
            <charset val="204"/>
          </rPr>
          <t xml:space="preserve">-292,6 т.руб.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ул. 50 лет Октября 6/1</t>
        </r>
        <r>
          <rPr>
            <b/>
            <sz val="8"/>
            <color indexed="81"/>
            <rFont val="Tahoma"/>
            <family val="2"/>
            <charset val="204"/>
          </rPr>
          <t xml:space="preserve">- 440,0 т. 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п. Моховая Падь</t>
        </r>
        <r>
          <rPr>
            <b/>
            <sz val="8"/>
            <color indexed="81"/>
            <rFont val="Tahoma"/>
            <family val="2"/>
            <charset val="204"/>
          </rPr>
          <t xml:space="preserve"> - 291,7 т.руб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использования имущества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 - 3,3 т.руб.
</t>
        </r>
        <r>
          <rPr>
            <sz val="8"/>
            <color indexed="81"/>
            <rFont val="Tahoma"/>
            <family val="2"/>
            <charset val="204"/>
          </rPr>
          <t>недополученный доход от неиспользования муниципального имущества ул. Красноармейская, 65</t>
        </r>
        <r>
          <rPr>
            <b/>
            <sz val="8"/>
            <color indexed="81"/>
            <rFont val="Tahoma"/>
            <family val="2"/>
            <charset val="204"/>
          </rPr>
          <t xml:space="preserve"> -376,9 т.руб.
</t>
        </r>
        <r>
          <rPr>
            <sz val="8"/>
            <color indexed="81"/>
            <rFont val="Tahoma"/>
            <family val="2"/>
            <charset val="204"/>
          </rPr>
          <t>убытки от неиспользуемого здания ул. Амурская, 201/2</t>
        </r>
        <r>
          <rPr>
            <b/>
            <sz val="8"/>
            <color indexed="81"/>
            <rFont val="Tahoma"/>
            <family val="2"/>
            <charset val="204"/>
          </rPr>
          <t xml:space="preserve"> - 311,5 т.руб.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32" authorId="1">
      <text>
        <r>
          <rPr>
            <sz val="8"/>
            <color indexed="81"/>
            <rFont val="Tahoma"/>
            <family val="2"/>
            <charset val="204"/>
          </rPr>
          <t xml:space="preserve">В составе основных средств не числится имущество на общую сумму 13 351,3 т. р. </t>
        </r>
      </text>
    </comment>
    <comment ref="Q32" authorId="0">
      <text>
        <r>
          <rPr>
            <sz val="8"/>
            <color indexed="81"/>
            <rFont val="Tahoma"/>
            <family val="2"/>
            <charset val="204"/>
          </rPr>
          <t xml:space="preserve">оплата коммунальных услуг, приходящихся на содержание помещений. занимаемых другими организациями - </t>
        </r>
        <r>
          <rPr>
            <b/>
            <sz val="8"/>
            <color indexed="81"/>
            <rFont val="Tahoma"/>
            <family val="2"/>
            <charset val="204"/>
          </rPr>
          <t>323,6 т.р.+81,1т.р.</t>
        </r>
        <r>
          <rPr>
            <sz val="8"/>
            <color indexed="81"/>
            <rFont val="Tahoma"/>
            <family val="2"/>
            <charset val="204"/>
          </rPr>
          <t xml:space="preserve">
оплата коммунальных услуг, приходящихся на содержание помещений. занимаемых другими организациями - </t>
        </r>
        <r>
          <rPr>
            <b/>
            <sz val="8"/>
            <color indexed="81"/>
            <rFont val="Tahoma"/>
            <family val="2"/>
            <charset val="204"/>
          </rPr>
          <t>35,7т.р.+11,3т.р.
31,9-</t>
        </r>
        <r>
          <rPr>
            <sz val="8"/>
            <color indexed="81"/>
            <rFont val="Tahoma"/>
            <family val="2"/>
            <charset val="204"/>
          </rPr>
          <t>произведены необоснованные расходы на ремонт автомобиля</t>
        </r>
        <r>
          <rPr>
            <b/>
            <sz val="8"/>
            <color indexed="81"/>
            <rFont val="Tahoma"/>
            <family val="2"/>
            <charset val="204"/>
          </rPr>
          <t xml:space="preserve"> 
</t>
        </r>
      </text>
    </comment>
    <comment ref="T32" authorId="0">
      <text>
        <r>
          <rPr>
            <b/>
            <sz val="8"/>
            <color indexed="81"/>
            <rFont val="Tahoma"/>
            <family val="2"/>
            <charset val="204"/>
          </rPr>
          <t>440+291,7-</t>
        </r>
        <r>
          <rPr>
            <sz val="8"/>
            <color indexed="81"/>
            <rFont val="Tahoma"/>
            <family val="2"/>
            <charset val="204"/>
          </rPr>
          <t>взыскать с ООО"ГРКЦ" сумму недополученного дохода от использования муниципального имущества и сумму затрат на оплату коммун платежей</t>
        </r>
        <r>
          <rPr>
            <b/>
            <sz val="8"/>
            <color indexed="81"/>
            <rFont val="Tahoma"/>
            <family val="2"/>
            <charset val="204"/>
          </rPr>
          <t xml:space="preserve">
323,6+81,1 - </t>
        </r>
        <r>
          <rPr>
            <sz val="8"/>
            <color indexed="81"/>
            <rFont val="Tahoma"/>
            <family val="2"/>
            <charset val="204"/>
          </rPr>
          <t>взыскать с ООО "Управление жильем" сумму недополученного дохода за использование муниципального имущества и сумму затрат на оплату коммун платежей</t>
        </r>
        <r>
          <rPr>
            <b/>
            <sz val="8"/>
            <color indexed="81"/>
            <rFont val="Tahoma"/>
            <family val="2"/>
            <charset val="204"/>
          </rPr>
          <t xml:space="preserve">
3,3-</t>
        </r>
        <r>
          <rPr>
            <sz val="8"/>
            <color indexed="81"/>
            <rFont val="Tahoma"/>
            <family val="2"/>
            <charset val="204"/>
          </rPr>
          <t>оплата за кофе-машину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
47</t>
        </r>
        <r>
          <rPr>
            <sz val="8"/>
            <color indexed="81"/>
            <rFont val="Tahoma"/>
            <family val="2"/>
            <charset val="204"/>
          </rPr>
          <t xml:space="preserve">-взыскать с ЧП Задорожная Т.С. и ООО "Престиж" сумму задолженности за содержание части здания по адресу: ул. Амурская. 201/2
</t>
        </r>
        <r>
          <rPr>
            <b/>
            <sz val="8"/>
            <color indexed="81"/>
            <rFont val="Tahoma"/>
            <family val="2"/>
            <charset val="204"/>
          </rPr>
          <t>82,5</t>
        </r>
        <r>
          <rPr>
            <sz val="8"/>
            <color indexed="81"/>
            <rFont val="Tahoma"/>
            <family val="2"/>
            <charset val="204"/>
          </rPr>
          <t xml:space="preserve">-рассмотреть вопрос о целесообразности дальнейшего использования в работе киоска сенсорного «Корсар»
</t>
        </r>
        <r>
          <rPr>
            <b/>
            <sz val="8"/>
            <color indexed="81"/>
            <rFont val="Tahoma"/>
            <family val="2"/>
            <charset val="204"/>
          </rPr>
          <t>13351,3</t>
        </r>
        <r>
          <rPr>
            <sz val="8"/>
            <color indexed="81"/>
            <rFont val="Tahoma"/>
            <family val="2"/>
            <charset val="204"/>
          </rPr>
          <t xml:space="preserve">-излишки ОС
</t>
        </r>
      </text>
    </commen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3,3-</t>
        </r>
        <r>
          <rPr>
            <sz val="8"/>
            <color indexed="81"/>
            <rFont val="Tahoma"/>
            <family val="2"/>
            <charset val="204"/>
          </rPr>
          <t>оплата за кофе-машину Кириным</t>
        </r>
        <r>
          <rPr>
            <b/>
            <sz val="8"/>
            <color indexed="81"/>
            <rFont val="Tahoma"/>
            <family val="2"/>
            <charset val="204"/>
          </rPr>
          <t xml:space="preserve">
82,5</t>
        </r>
        <r>
          <rPr>
            <sz val="8"/>
            <color indexed="81"/>
            <rFont val="Tahoma"/>
            <family val="2"/>
            <charset val="204"/>
          </rPr>
          <t xml:space="preserve"> - введен в экспуатацию киоск сенснорный "Корсар"
</t>
        </r>
        <r>
          <rPr>
            <b/>
            <sz val="8"/>
            <color indexed="81"/>
            <rFont val="Tahoma"/>
            <family val="2"/>
            <charset val="204"/>
          </rPr>
          <t xml:space="preserve">13351,3 </t>
        </r>
        <r>
          <rPr>
            <sz val="8"/>
            <color indexed="81"/>
            <rFont val="Tahoma"/>
            <family val="2"/>
            <charset val="204"/>
          </rPr>
          <t xml:space="preserve">-оприходованы излишки ОС
</t>
        </r>
        <r>
          <rPr>
            <b/>
            <sz val="8"/>
            <color indexed="81"/>
            <rFont val="Tahoma"/>
            <family val="2"/>
            <charset val="204"/>
          </rPr>
          <t>47</t>
        </r>
        <r>
          <rPr>
            <sz val="8"/>
            <color indexed="81"/>
            <rFont val="Tahoma"/>
            <family val="2"/>
            <charset val="204"/>
          </rPr>
          <t xml:space="preserve">-оплачено ЧП Задорожная Т.С. и ООО "Престиж"  за содержание части здания по адресу: ул. Амурская. 201/2
</t>
        </r>
      </text>
    </comment>
  </commentList>
</comments>
</file>

<file path=xl/sharedStrings.xml><?xml version="1.0" encoding="utf-8"?>
<sst xmlns="http://schemas.openxmlformats.org/spreadsheetml/2006/main" count="365" uniqueCount="137">
  <si>
    <t>ВСЕГО</t>
  </si>
  <si>
    <t>№ п/п</t>
  </si>
  <si>
    <t>СВЕДЕНИЯ</t>
  </si>
  <si>
    <t>Наименование мероприятия</t>
  </si>
  <si>
    <t>Объект проверки</t>
  </si>
  <si>
    <t>Сроки проведения проверки</t>
  </si>
  <si>
    <t>Проверяемый период</t>
  </si>
  <si>
    <t>Проведено проверок</t>
  </si>
  <si>
    <t xml:space="preserve">                                                                                                (тыс. руб.)</t>
  </si>
  <si>
    <t>другие финансовые нарушения</t>
  </si>
  <si>
    <t xml:space="preserve">Выявлено финансовых нарушений                                                      </t>
  </si>
  <si>
    <t xml:space="preserve">неправомерное расходование средств </t>
  </si>
  <si>
    <t>неэффективное использование мат.ресурсов и денежных средств</t>
  </si>
  <si>
    <t>Итого:</t>
  </si>
  <si>
    <t>нецелевое использование бюджетных средств</t>
  </si>
  <si>
    <t>к отчету контрольно-счетной палаты  г. Благовещенска по плановым проверкам</t>
  </si>
  <si>
    <t>к отчету контрольно-счетной</t>
  </si>
  <si>
    <t>Приложение № 1</t>
  </si>
  <si>
    <t>палаты г. Благовещенска</t>
  </si>
  <si>
    <t>всего</t>
  </si>
  <si>
    <t xml:space="preserve"> в т. ч. по бухгалтерскому учету</t>
  </si>
  <si>
    <t>Объем средств ФСС, ФОМС, предприним. деят-ти охваченных проверками</t>
  </si>
  <si>
    <t>Предложено к восстановлению, устранению</t>
  </si>
  <si>
    <t>Устранено финансовых нарушений, приняты нормативно-правовые кты</t>
  </si>
  <si>
    <t>недостача денежных средств</t>
  </si>
  <si>
    <t>недостача материальных ресурсов</t>
  </si>
  <si>
    <t>излишки материальных ценностей и денежных средств</t>
  </si>
  <si>
    <t>по восстановлению финансовых нарушений по проверкам прошлых лет</t>
  </si>
  <si>
    <t>Устранено финансовых нарушений, приняты нормативно-правовые акты</t>
  </si>
  <si>
    <t>тыс. руб.</t>
  </si>
  <si>
    <t>%</t>
  </si>
  <si>
    <t>Предложено к восстановлению, устранению,           тыс. руб.</t>
  </si>
  <si>
    <t>всего,                    тыс. руб.</t>
  </si>
  <si>
    <t xml:space="preserve"> в т. ч. по бухгалтерскому учету,                  тыс. руб.</t>
  </si>
  <si>
    <t>излишки материальных ценностей и денежных средств,                                      тыс. руб.</t>
  </si>
  <si>
    <t>недостача материальных ресурсов,                                   тыс. руб.</t>
  </si>
  <si>
    <t>ВСЕГО,                                                                          тыс. руб.</t>
  </si>
  <si>
    <t>Объем средств ФСС, ФОМС, предприним. деят-ти охваченных проверками,    тыс. руб.</t>
  </si>
  <si>
    <t>Объем бюджетных средств охваченных проверками,   тыс. руб.</t>
  </si>
  <si>
    <t xml:space="preserve">                                                                                 </t>
  </si>
  <si>
    <t>нецелевое использование бюджетных средств,                        тыс. руб.</t>
  </si>
  <si>
    <t>неэффективное использование мат.ресурсов и денежных средств,                                                          тыс. руб.</t>
  </si>
  <si>
    <t>недостача денежных средств,                                                              тыс. руб.</t>
  </si>
  <si>
    <t xml:space="preserve">Объем бюджетных средств охваченных проверками </t>
  </si>
  <si>
    <t>Участники проверки</t>
  </si>
  <si>
    <t>Захарчук В.И.</t>
  </si>
  <si>
    <t>Алексейченко В.В.</t>
  </si>
  <si>
    <t>Пирог С.А.</t>
  </si>
  <si>
    <t>Резникова А.Л.</t>
  </si>
  <si>
    <t>ВСЕГО:</t>
  </si>
  <si>
    <t>Ульянич В.А.</t>
  </si>
  <si>
    <t>Хорошевский А.Л.</t>
  </si>
  <si>
    <t>к отчету контрольно-счетной палаты  г. Благовещенска по комплексным проверкам</t>
  </si>
  <si>
    <t>Процент от общей суммы финансовых нарушений</t>
  </si>
  <si>
    <t>Устранено финансовых нарушений</t>
  </si>
  <si>
    <t>Комитет по управлению имуществом муниципального образования города Благовещенска</t>
  </si>
  <si>
    <t>Соблюдение порядка управления и распоряжения муниципальным имуществом</t>
  </si>
  <si>
    <t>13.01.2011-24.02.2011</t>
  </si>
  <si>
    <t xml:space="preserve"> Недопоступление платежей в бюджет</t>
  </si>
  <si>
    <t xml:space="preserve">Проверка финансово - хозяйственной деятельности </t>
  </si>
  <si>
    <t>Морозова Л.А.</t>
  </si>
  <si>
    <t>Пойденко Е.А.</t>
  </si>
  <si>
    <t>13.01.2010-24.02.2011</t>
  </si>
  <si>
    <t>неправомерное расходование средств,  неправомерно полученный доход                                                   тыс. руб.</t>
  </si>
  <si>
    <t>13.01.2011- 24.02.2011</t>
  </si>
  <si>
    <t>Проверка соблюдения порядка управления и распоряжения имуществом муниципальной собственности</t>
  </si>
  <si>
    <t xml:space="preserve">от 24.01.11 № 3 </t>
  </si>
  <si>
    <t>от 11.01.11 № 1</t>
  </si>
  <si>
    <t>от 11.01.11 № 2</t>
  </si>
  <si>
    <t>Проверка законности включения в реестр муниципальной собственности моста через реку Чигири, а также законности расходования бюджетных средств на выполнение работ по возведению данного моста</t>
  </si>
  <si>
    <t>24.01.2011-03.02.2011</t>
  </si>
  <si>
    <t>2010 г.</t>
  </si>
  <si>
    <t>Проверка соблюдения порядка передачи в аренду и отчуждения земельного участка с кадастровым номером 28:01:080001:0094</t>
  </si>
  <si>
    <t xml:space="preserve">от 24.01.11 № 4 </t>
  </si>
  <si>
    <t>24.01.2011-11.02.2011</t>
  </si>
  <si>
    <t>2008 г.</t>
  </si>
  <si>
    <t>Муниципальное учреждение дополнительного образования детей детско - юношеская спортивная школа №  1</t>
  </si>
  <si>
    <t xml:space="preserve"> за первое полугодие 2011 год</t>
  </si>
  <si>
    <t>Иванова Л.В.</t>
  </si>
  <si>
    <t xml:space="preserve">Проверка финансово-хозяйственной деятельности </t>
  </si>
  <si>
    <t>2009 год</t>
  </si>
  <si>
    <t>13.01.2010-05.03.2010</t>
  </si>
  <si>
    <t>МОАУ для детей дошкольного и младшего школьного возраста прогимназия</t>
  </si>
  <si>
    <t xml:space="preserve"> 2010 год</t>
  </si>
  <si>
    <t>06.09.2010-15.10.2010</t>
  </si>
  <si>
    <t>Муниципальное бюджетное учреждение культуры "Общественно-культурный центр"</t>
  </si>
  <si>
    <t>МОАУ ДОД ДЮСШ № 3</t>
  </si>
  <si>
    <t xml:space="preserve">к отчету контрольно-счетной палаты </t>
  </si>
  <si>
    <t>2006 г. -                2007 г.</t>
  </si>
  <si>
    <t>всего,                                              тыс. руб.</t>
  </si>
  <si>
    <t>нецелевое использование                                                                   бюджетных средств,                                                       тыс. руб.</t>
  </si>
  <si>
    <t>излишки материальных ценностей                              и денежных средств,                                      тыс. руб.</t>
  </si>
  <si>
    <t>Недопоступление платежей в бюджет,                                                       тыс. рублей</t>
  </si>
  <si>
    <t>неправомерное расходование средств,   неправомерно                                                 полученный доход                                                  тыс. руб.</t>
  </si>
  <si>
    <t xml:space="preserve"> в т. ч. по бухгалтерскому учету,                                                   тыс. руб.</t>
  </si>
  <si>
    <t xml:space="preserve"> </t>
  </si>
  <si>
    <t xml:space="preserve"> за 2011 год</t>
  </si>
  <si>
    <t>Номер и дата поручения</t>
  </si>
  <si>
    <t>от  03.05.11 № 5</t>
  </si>
  <si>
    <t>МП г.Благовещенска "Единый информационно-расчетный центр"</t>
  </si>
  <si>
    <t>04.05.2011-16.06.2011</t>
  </si>
  <si>
    <t>в том числе</t>
  </si>
  <si>
    <t>Процент устранения от суммы предложенной к восстановлению, устранению</t>
  </si>
  <si>
    <t xml:space="preserve">МУ ДОД ДМЦ </t>
  </si>
  <si>
    <t>МОУ ДОД ЦЭВД</t>
  </si>
  <si>
    <t xml:space="preserve">Проверка финансово-хозяйственной деятельности 
</t>
  </si>
  <si>
    <t xml:space="preserve">Муниципальное учреждение "Городское управление капитального строительства" 
</t>
  </si>
  <si>
    <t>05.09.2011-14.10.2011</t>
  </si>
  <si>
    <t xml:space="preserve">ООО «Управление жильем» </t>
  </si>
  <si>
    <t>Документальная проверка в ООО «Управление жильем» целевого и эффективного расходования средств, поступающих от собственников жилых помещений на содержание многоквартирного жилого дома по адресу: г. Благовещенск, пос. Моховая падь, литер 2</t>
  </si>
  <si>
    <t>01.06.2011 - 14.06.2011</t>
  </si>
  <si>
    <t>2009 - 2010 года, первый квартал 2011 года</t>
  </si>
  <si>
    <t>Проверка отдельных вопросов финансово-хозяйственной  деятельности МУ "Централизованная бухгалтерия учреждений образования", в том числе правомерность расходов на содержание учреждений МОУ СОШ № 2, МОУ СОШ № 6, МУ ДОД "Детский морской центр", МОУ ДОД "Центр эстетического воспитания"</t>
  </si>
  <si>
    <t xml:space="preserve"> МУ "ЦБ УО", МОУ СОШ: № 2, 6; МУ ДОД: ДМЦ, ЦЭВД</t>
  </si>
  <si>
    <t>2006-2007</t>
  </si>
  <si>
    <t>2008</t>
  </si>
  <si>
    <t>ИТОГО, в т.ч.:</t>
  </si>
  <si>
    <t xml:space="preserve">Муниципальное учреждение дополнительного образования детей детско - юношеская спортивная школа  № 1 </t>
  </si>
  <si>
    <t xml:space="preserve"> МУ "ЦБ УО";                    </t>
  </si>
  <si>
    <t>МОУ СОШ № 2</t>
  </si>
  <si>
    <t xml:space="preserve">МОУ СОШ № 6 </t>
  </si>
  <si>
    <t>3746 *</t>
  </si>
  <si>
    <t>Примечание:</t>
  </si>
  <si>
    <t>от 03.05.11    № 6; от 17.06.11 № 8</t>
  </si>
  <si>
    <t>от 05.09.11 № 9</t>
  </si>
  <si>
    <t>восстановлено в доход городского бюджета</t>
  </si>
  <si>
    <t>города Благовещенска</t>
  </si>
  <si>
    <t>* - в феврале 2011 года в доход городского бюджета поступила сумма штрафов в размере 44 тыс. рублей по составленным в 2010 году контрольно-счетной палатой протоколам об административных правонарушениях за нецелевое использование средств городского бюджета (от МУК "ОКЦ" - 40 тыс. рублей, от генерального директора МУК "ОКЦ" - 4 тыс. рублей). В сумму устранено нарушений по ОКЦ (3746 тыс. рублей), размер штрафа (44 тыс. рублей) не включен.</t>
  </si>
  <si>
    <t>ВСЕГО,            тыс. руб.</t>
  </si>
  <si>
    <t>05.09.2011-28.10.2011</t>
  </si>
  <si>
    <t>2005-2010 годы</t>
  </si>
  <si>
    <t xml:space="preserve">Администрация города Благовещенска,
Управление ЖКХ администрации города Благовещенска,
Комитет по управлению имуществом муниципального образования города Благовещенска
</t>
  </si>
  <si>
    <t>Проверка выполнения условий Соглашения от 12.08.2005 № 46 о взаимодействии между Администрацией города Благовещенска, ОАО «Российские коммунальные системы» и ОАО «Амурские коммунальные системы» при реализации мероприятий по восстановлению и развитию объектов коммунального комплекса города Благовещенска и заключенных инвестиционных договоров, целевого использования средств городского бюджета *</t>
  </si>
  <si>
    <t>1 *</t>
  </si>
  <si>
    <t>* В сентябре - октябре 2011 проведена проверка выполнения условий Соглашения от 12.08.2005 № 46 о взаимодействии между Администрацией города Благовещенска, ОАО «Российские коммунальные системы» и ОАО «Амурские коммунальные системы» при реализации мероприятий по восстановлению и развитию объектов коммунального комплекса города Благовещенска и заключенных инвестиционных договоров, целевого использования средств городского бюджета. В связи с тем, что отчет по поименованноей проверке Благовещенской городской Думой не рассмотрен, и в настоящее время реализация указанных материалов не закончена, суммы финансовых нарушений по данному контрольному мероприятию будут отражены в отчете за 2012 год.</t>
  </si>
  <si>
    <t>-</t>
  </si>
  <si>
    <t>0,0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</si>
</sst>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[$-419]d\ mmm\ yy;@"/>
    <numFmt numFmtId="167" formatCode="0.0000"/>
  </numFmts>
  <fonts count="36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2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8"/>
      <color indexed="81"/>
      <name val="Tahoma"/>
      <family val="2"/>
      <charset val="204"/>
    </font>
    <font>
      <b/>
      <i/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 Cyr"/>
      <family val="1"/>
      <charset val="204"/>
    </font>
    <font>
      <b/>
      <sz val="2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4"/>
      <color indexed="81"/>
      <name val="Times New Roman"/>
      <family val="1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2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/>
    <xf numFmtId="16" fontId="3" fillId="0" borderId="0" xfId="0" applyNumberFormat="1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textRotation="90" wrapText="1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165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10" fillId="0" borderId="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 wrapText="1" shrinkToFit="1"/>
    </xf>
    <xf numFmtId="165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3" borderId="0" xfId="0" applyFont="1" applyFill="1"/>
    <xf numFmtId="16" fontId="10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10" fillId="0" borderId="0" xfId="0" applyNumberFormat="1" applyFont="1"/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11" fillId="3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4" fontId="10" fillId="0" borderId="8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 shrinkToFit="1"/>
    </xf>
    <xf numFmtId="0" fontId="11" fillId="0" borderId="8" xfId="0" applyFont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distributed"/>
    </xf>
    <xf numFmtId="0" fontId="10" fillId="2" borderId="1" xfId="0" applyFont="1" applyFill="1" applyBorder="1" applyAlignment="1">
      <alignment horizontal="left" vertical="distributed" wrapText="1" shrinkToFit="1"/>
    </xf>
    <xf numFmtId="0" fontId="11" fillId="0" borderId="1" xfId="0" applyFont="1" applyBorder="1" applyAlignment="1">
      <alignment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165" fontId="11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vertical="center"/>
    </xf>
    <xf numFmtId="164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horizontal="justify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9" fillId="0" borderId="12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textRotation="90" wrapText="1"/>
    </xf>
    <xf numFmtId="165" fontId="3" fillId="0" borderId="5" xfId="0" applyNumberFormat="1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165" fontId="2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164" fontId="10" fillId="2" borderId="3" xfId="0" applyNumberFormat="1" applyFont="1" applyFill="1" applyBorder="1" applyAlignment="1">
      <alignment horizontal="right" vertical="center" wrapText="1"/>
    </xf>
    <xf numFmtId="164" fontId="10" fillId="2" borderId="4" xfId="0" applyNumberFormat="1" applyFont="1" applyFill="1" applyBorder="1" applyAlignment="1">
      <alignment horizontal="right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right" vertical="center" wrapText="1"/>
    </xf>
    <xf numFmtId="165" fontId="11" fillId="0" borderId="4" xfId="0" applyNumberFormat="1" applyFont="1" applyBorder="1" applyAlignment="1">
      <alignment horizontal="right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right" vertical="center" wrapText="1"/>
    </xf>
    <xf numFmtId="165" fontId="11" fillId="2" borderId="4" xfId="0" applyNumberFormat="1" applyFont="1" applyFill="1" applyBorder="1" applyAlignment="1">
      <alignment horizontal="right" vertical="center" wrapText="1"/>
    </xf>
    <xf numFmtId="0" fontId="10" fillId="2" borderId="3" xfId="0" applyNumberFormat="1" applyFont="1" applyFill="1" applyBorder="1" applyAlignment="1">
      <alignment horizontal="right" vertical="center" wrapText="1"/>
    </xf>
    <xf numFmtId="0" fontId="10" fillId="2" borderId="4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5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4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4" xfId="0" applyFont="1" applyFill="1" applyBorder="1" applyAlignment="1">
      <alignment horizontal="center" vertical="center" wrapText="1" shrinkToFit="1"/>
    </xf>
    <xf numFmtId="0" fontId="10" fillId="3" borderId="5" xfId="0" applyFont="1" applyFill="1" applyBorder="1" applyAlignment="1">
      <alignment horizontal="center" vertical="center" wrapText="1" shrinkToFit="1"/>
    </xf>
    <xf numFmtId="165" fontId="11" fillId="3" borderId="3" xfId="0" applyNumberFormat="1" applyFont="1" applyFill="1" applyBorder="1" applyAlignment="1">
      <alignment horizontal="right" vertical="center" wrapText="1" shrinkToFit="1"/>
    </xf>
    <xf numFmtId="165" fontId="11" fillId="3" borderId="4" xfId="0" applyNumberFormat="1" applyFont="1" applyFill="1" applyBorder="1" applyAlignment="1">
      <alignment horizontal="right" vertical="center" wrapText="1" shrinkToFit="1"/>
    </xf>
    <xf numFmtId="165" fontId="11" fillId="3" borderId="5" xfId="0" applyNumberFormat="1" applyFont="1" applyFill="1" applyBorder="1" applyAlignment="1">
      <alignment horizontal="right" vertical="center" wrapText="1" shrinkToFi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vertical="center" wrapText="1"/>
    </xf>
    <xf numFmtId="165" fontId="11" fillId="2" borderId="5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35"/>
  <sheetViews>
    <sheetView showZeros="0" tabSelected="1" topLeftCell="B1" zoomScale="60" zoomScaleNormal="60" workbookViewId="0">
      <pane xSplit="5" ySplit="13" topLeftCell="M16" activePane="bottomRight" state="frozen"/>
      <selection activeCell="B1" sqref="B1"/>
      <selection pane="topRight" activeCell="G1" sqref="G1"/>
      <selection pane="bottomLeft" activeCell="B14" sqref="B14"/>
      <selection pane="bottomRight" activeCell="Q18" sqref="Q18"/>
    </sheetView>
  </sheetViews>
  <sheetFormatPr defaultRowHeight="12.75"/>
  <cols>
    <col min="1" max="1" width="7.42578125" style="114" hidden="1" customWidth="1"/>
    <col min="2" max="2" width="5" style="43" customWidth="1"/>
    <col min="3" max="3" width="39.28515625" style="44" customWidth="1"/>
    <col min="4" max="4" width="36.42578125" style="44" customWidth="1"/>
    <col min="5" max="5" width="16.85546875" style="45" customWidth="1"/>
    <col min="6" max="6" width="16.140625" style="45" customWidth="1"/>
    <col min="7" max="8" width="15.42578125" style="45" customWidth="1"/>
    <col min="9" max="9" width="12.85546875" style="45" customWidth="1"/>
    <col min="10" max="10" width="18.7109375" style="46" customWidth="1"/>
    <col min="11" max="11" width="11.28515625" style="46" customWidth="1"/>
    <col min="12" max="12" width="13.85546875" style="47" customWidth="1"/>
    <col min="13" max="13" width="11.5703125" style="47" customWidth="1"/>
    <col min="14" max="15" width="11.140625" style="47" customWidth="1"/>
    <col min="16" max="16" width="14.140625" style="47" customWidth="1"/>
    <col min="17" max="18" width="15.28515625" style="47" customWidth="1"/>
    <col min="19" max="19" width="17.5703125" style="47" customWidth="1"/>
    <col min="20" max="20" width="18.140625" style="47" customWidth="1"/>
    <col min="21" max="21" width="15.140625" style="47" customWidth="1"/>
    <col min="22" max="22" width="16.85546875" style="47" customWidth="1"/>
    <col min="23" max="23" width="16" style="47" customWidth="1"/>
    <col min="24" max="24" width="13.42578125" style="47" customWidth="1"/>
    <col min="25" max="16384" width="9.140625" style="47"/>
  </cols>
  <sheetData>
    <row r="1" spans="1:24">
      <c r="G1" s="45" t="s">
        <v>95</v>
      </c>
    </row>
    <row r="2" spans="1:24" ht="21" customHeight="1">
      <c r="T2" s="153" t="s">
        <v>17</v>
      </c>
      <c r="U2" s="153"/>
      <c r="V2" s="153"/>
      <c r="W2" s="153"/>
    </row>
    <row r="3" spans="1:24" ht="21.75" customHeight="1">
      <c r="R3" s="48"/>
      <c r="S3" s="48"/>
      <c r="T3" s="154" t="s">
        <v>87</v>
      </c>
      <c r="U3" s="154"/>
      <c r="V3" s="154"/>
      <c r="W3" s="154"/>
      <c r="X3" s="48"/>
    </row>
    <row r="4" spans="1:24" ht="26.25">
      <c r="R4" s="48"/>
      <c r="S4" s="48"/>
      <c r="T4" s="155" t="s">
        <v>126</v>
      </c>
      <c r="U4" s="155"/>
      <c r="V4" s="155"/>
      <c r="W4" s="155"/>
      <c r="X4" s="48"/>
    </row>
    <row r="5" spans="1:24" ht="14.25" customHeight="1">
      <c r="R5" s="48"/>
      <c r="S5" s="48"/>
      <c r="U5" s="97"/>
      <c r="V5" s="97"/>
      <c r="X5" s="48"/>
    </row>
    <row r="6" spans="1:24" ht="30" customHeight="1">
      <c r="B6" s="156" t="s">
        <v>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4" ht="25.5">
      <c r="B7" s="157" t="s">
        <v>52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4" ht="25.5">
      <c r="B8" s="152" t="s">
        <v>96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>
      <c r="R9" s="158" t="s">
        <v>39</v>
      </c>
      <c r="S9" s="158"/>
      <c r="T9" s="158"/>
      <c r="U9" s="159"/>
      <c r="V9" s="146"/>
    </row>
    <row r="10" spans="1:24" ht="48.75" customHeight="1">
      <c r="A10" s="160" t="s">
        <v>97</v>
      </c>
      <c r="B10" s="161" t="s">
        <v>1</v>
      </c>
      <c r="C10" s="162" t="s">
        <v>3</v>
      </c>
      <c r="D10" s="162" t="s">
        <v>4</v>
      </c>
      <c r="E10" s="162" t="s">
        <v>5</v>
      </c>
      <c r="F10" s="163" t="s">
        <v>6</v>
      </c>
      <c r="G10" s="163" t="s">
        <v>38</v>
      </c>
      <c r="H10" s="164" t="s">
        <v>37</v>
      </c>
      <c r="I10" s="163" t="s">
        <v>7</v>
      </c>
      <c r="J10" s="168" t="s">
        <v>10</v>
      </c>
      <c r="K10" s="169"/>
      <c r="L10" s="169"/>
      <c r="M10" s="169"/>
      <c r="N10" s="169"/>
      <c r="O10" s="169"/>
      <c r="P10" s="169"/>
      <c r="Q10" s="169"/>
      <c r="R10" s="169"/>
      <c r="S10" s="170"/>
      <c r="T10" s="171" t="s">
        <v>31</v>
      </c>
      <c r="U10" s="162" t="s">
        <v>54</v>
      </c>
      <c r="V10" s="162"/>
      <c r="W10" s="162"/>
    </row>
    <row r="11" spans="1:24" ht="48" customHeight="1">
      <c r="A11" s="160"/>
      <c r="B11" s="161"/>
      <c r="C11" s="162"/>
      <c r="D11" s="162"/>
      <c r="E11" s="162"/>
      <c r="F11" s="163"/>
      <c r="G11" s="163"/>
      <c r="H11" s="165"/>
      <c r="I11" s="163"/>
      <c r="J11" s="174" t="s">
        <v>36</v>
      </c>
      <c r="K11" s="176" t="s">
        <v>90</v>
      </c>
      <c r="L11" s="178" t="s">
        <v>41</v>
      </c>
      <c r="M11" s="180" t="s">
        <v>42</v>
      </c>
      <c r="N11" s="178" t="s">
        <v>35</v>
      </c>
      <c r="O11" s="180" t="s">
        <v>92</v>
      </c>
      <c r="P11" s="180" t="s">
        <v>91</v>
      </c>
      <c r="Q11" s="178" t="s">
        <v>93</v>
      </c>
      <c r="R11" s="182" t="s">
        <v>9</v>
      </c>
      <c r="S11" s="182"/>
      <c r="T11" s="172"/>
      <c r="U11" s="183" t="s">
        <v>128</v>
      </c>
      <c r="V11" s="147" t="s">
        <v>101</v>
      </c>
      <c r="W11" s="184" t="s">
        <v>102</v>
      </c>
    </row>
    <row r="12" spans="1:24" ht="154.5" customHeight="1">
      <c r="A12" s="160"/>
      <c r="B12" s="161"/>
      <c r="C12" s="162"/>
      <c r="D12" s="162"/>
      <c r="E12" s="162"/>
      <c r="F12" s="163"/>
      <c r="G12" s="163"/>
      <c r="H12" s="166"/>
      <c r="I12" s="163"/>
      <c r="J12" s="175"/>
      <c r="K12" s="177"/>
      <c r="L12" s="179"/>
      <c r="M12" s="181"/>
      <c r="N12" s="179"/>
      <c r="O12" s="181"/>
      <c r="P12" s="181"/>
      <c r="Q12" s="179"/>
      <c r="R12" s="34" t="s">
        <v>89</v>
      </c>
      <c r="S12" s="25" t="s">
        <v>94</v>
      </c>
      <c r="T12" s="173"/>
      <c r="U12" s="183"/>
      <c r="V12" s="148" t="s">
        <v>125</v>
      </c>
      <c r="W12" s="185"/>
    </row>
    <row r="13" spans="1:24" ht="12.75" customHeight="1">
      <c r="B13" s="149">
        <v>1</v>
      </c>
      <c r="C13" s="52">
        <v>2</v>
      </c>
      <c r="D13" s="149">
        <v>3</v>
      </c>
      <c r="E13" s="53">
        <v>4</v>
      </c>
      <c r="F13" s="54">
        <v>5</v>
      </c>
      <c r="G13" s="53">
        <v>6</v>
      </c>
      <c r="H13" s="53">
        <v>7</v>
      </c>
      <c r="I13" s="53">
        <v>8</v>
      </c>
      <c r="J13" s="53">
        <v>9</v>
      </c>
      <c r="K13" s="53">
        <v>10</v>
      </c>
      <c r="L13" s="53">
        <v>11</v>
      </c>
      <c r="M13" s="53">
        <v>12</v>
      </c>
      <c r="N13" s="53">
        <v>13</v>
      </c>
      <c r="O13" s="53">
        <v>14</v>
      </c>
      <c r="P13" s="53">
        <v>15</v>
      </c>
      <c r="Q13" s="53">
        <v>16</v>
      </c>
      <c r="R13" s="53">
        <v>17</v>
      </c>
      <c r="S13" s="53">
        <v>18</v>
      </c>
      <c r="T13" s="53">
        <v>19</v>
      </c>
      <c r="U13" s="53">
        <v>20</v>
      </c>
      <c r="V13" s="53">
        <v>21</v>
      </c>
      <c r="W13" s="53">
        <v>22</v>
      </c>
    </row>
    <row r="14" spans="1:24" s="105" customFormat="1" ht="127.5" customHeight="1">
      <c r="A14" s="115" t="s">
        <v>67</v>
      </c>
      <c r="B14" s="98">
        <v>1</v>
      </c>
      <c r="C14" s="99" t="s">
        <v>65</v>
      </c>
      <c r="D14" s="98" t="s">
        <v>55</v>
      </c>
      <c r="E14" s="100" t="s">
        <v>64</v>
      </c>
      <c r="F14" s="101" t="s">
        <v>71</v>
      </c>
      <c r="G14" s="102">
        <v>389546.9</v>
      </c>
      <c r="H14" s="108" t="s">
        <v>136</v>
      </c>
      <c r="I14" s="100">
        <v>1</v>
      </c>
      <c r="J14" s="103">
        <f>SUM(K14:R14)</f>
        <v>2230672.37</v>
      </c>
      <c r="K14" s="103" t="s">
        <v>135</v>
      </c>
      <c r="L14" s="103">
        <v>6584.5</v>
      </c>
      <c r="M14" s="103" t="s">
        <v>135</v>
      </c>
      <c r="N14" s="103" t="s">
        <v>135</v>
      </c>
      <c r="O14" s="103">
        <f>'по участникам'!O12</f>
        <v>11823.5</v>
      </c>
      <c r="P14" s="103" t="s">
        <v>135</v>
      </c>
      <c r="Q14" s="103" t="s">
        <v>135</v>
      </c>
      <c r="R14" s="103">
        <f>'по участникам'!R12</f>
        <v>2212264.37</v>
      </c>
      <c r="S14" s="103" t="s">
        <v>135</v>
      </c>
      <c r="T14" s="103">
        <f>'по участникам'!T12</f>
        <v>2201214.37</v>
      </c>
      <c r="U14" s="103">
        <f>'по участникам'!U12</f>
        <v>2170776.67</v>
      </c>
      <c r="V14" s="103">
        <f>328.5+20801.5</f>
        <v>21130</v>
      </c>
      <c r="W14" s="104">
        <f>U14*100/T14</f>
        <v>98.617231451201178</v>
      </c>
    </row>
    <row r="15" spans="1:24" s="105" customFormat="1" ht="132" customHeight="1">
      <c r="A15" s="115" t="s">
        <v>68</v>
      </c>
      <c r="B15" s="98">
        <v>2</v>
      </c>
      <c r="C15" s="99" t="s">
        <v>59</v>
      </c>
      <c r="D15" s="106" t="s">
        <v>117</v>
      </c>
      <c r="E15" s="107" t="s">
        <v>57</v>
      </c>
      <c r="F15" s="108" t="s">
        <v>71</v>
      </c>
      <c r="G15" s="102">
        <v>6530.9</v>
      </c>
      <c r="H15" s="103">
        <v>10406.4</v>
      </c>
      <c r="I15" s="100">
        <v>1</v>
      </c>
      <c r="J15" s="103">
        <f>SUM(K15:R15)</f>
        <v>21230.600000000002</v>
      </c>
      <c r="K15" s="103">
        <v>374.6</v>
      </c>
      <c r="L15" s="103" t="s">
        <v>135</v>
      </c>
      <c r="M15" s="103" t="s">
        <v>135</v>
      </c>
      <c r="N15" s="103" t="s">
        <v>135</v>
      </c>
      <c r="O15" s="103" t="s">
        <v>135</v>
      </c>
      <c r="P15" s="103" t="s">
        <v>135</v>
      </c>
      <c r="Q15" s="103">
        <v>3251.1</v>
      </c>
      <c r="R15" s="103">
        <f>'по участникам'!R19</f>
        <v>17604.900000000001</v>
      </c>
      <c r="S15" s="103">
        <f>'по участникам'!S19</f>
        <v>4088.4</v>
      </c>
      <c r="T15" s="103">
        <f>'по участникам'!T19</f>
        <v>14756.1</v>
      </c>
      <c r="U15" s="103">
        <v>13058</v>
      </c>
      <c r="V15" s="103">
        <v>212.1</v>
      </c>
      <c r="W15" s="104">
        <f>U15*100/T15</f>
        <v>88.492216778145988</v>
      </c>
    </row>
    <row r="16" spans="1:24" s="105" customFormat="1" ht="143.25" customHeight="1">
      <c r="A16" s="115" t="s">
        <v>66</v>
      </c>
      <c r="B16" s="98">
        <v>3</v>
      </c>
      <c r="C16" s="99" t="s">
        <v>69</v>
      </c>
      <c r="D16" s="98" t="s">
        <v>55</v>
      </c>
      <c r="E16" s="107" t="s">
        <v>70</v>
      </c>
      <c r="F16" s="108" t="s">
        <v>88</v>
      </c>
      <c r="G16" s="102">
        <v>46600</v>
      </c>
      <c r="H16" s="108" t="s">
        <v>136</v>
      </c>
      <c r="I16" s="100">
        <v>1</v>
      </c>
      <c r="J16" s="103">
        <f>SUM(K16:R16)</f>
        <v>46600</v>
      </c>
      <c r="K16" s="103">
        <v>46600</v>
      </c>
      <c r="L16" s="103" t="s">
        <v>135</v>
      </c>
      <c r="M16" s="103" t="s">
        <v>135</v>
      </c>
      <c r="N16" s="103" t="s">
        <v>135</v>
      </c>
      <c r="O16" s="103" t="s">
        <v>135</v>
      </c>
      <c r="P16" s="103" t="s">
        <v>135</v>
      </c>
      <c r="Q16" s="103" t="s">
        <v>135</v>
      </c>
      <c r="R16" s="103" t="s">
        <v>135</v>
      </c>
      <c r="S16" s="103" t="s">
        <v>135</v>
      </c>
      <c r="T16" s="103" t="s">
        <v>135</v>
      </c>
      <c r="U16" s="103" t="s">
        <v>135</v>
      </c>
      <c r="V16" s="103" t="s">
        <v>135</v>
      </c>
      <c r="W16" s="103" t="s">
        <v>135</v>
      </c>
    </row>
    <row r="17" spans="1:25" s="105" customFormat="1" ht="134.25" customHeight="1">
      <c r="A17" s="115" t="s">
        <v>73</v>
      </c>
      <c r="B17" s="98">
        <v>4</v>
      </c>
      <c r="C17" s="99" t="s">
        <v>72</v>
      </c>
      <c r="D17" s="98" t="s">
        <v>55</v>
      </c>
      <c r="E17" s="107" t="s">
        <v>74</v>
      </c>
      <c r="F17" s="108" t="s">
        <v>75</v>
      </c>
      <c r="G17" s="108" t="s">
        <v>136</v>
      </c>
      <c r="H17" s="108" t="s">
        <v>136</v>
      </c>
      <c r="I17" s="100">
        <v>1</v>
      </c>
      <c r="J17" s="132">
        <f>SUM(K17:R17)</f>
        <v>15298.5</v>
      </c>
      <c r="K17" s="103" t="s">
        <v>135</v>
      </c>
      <c r="L17" s="103" t="s">
        <v>135</v>
      </c>
      <c r="M17" s="103" t="s">
        <v>135</v>
      </c>
      <c r="N17" s="103" t="s">
        <v>135</v>
      </c>
      <c r="O17" s="103">
        <v>15298.5</v>
      </c>
      <c r="P17" s="103" t="s">
        <v>135</v>
      </c>
      <c r="Q17" s="103" t="s">
        <v>135</v>
      </c>
      <c r="R17" s="103" t="s">
        <v>135</v>
      </c>
      <c r="S17" s="103" t="s">
        <v>135</v>
      </c>
      <c r="T17" s="103" t="s">
        <v>135</v>
      </c>
      <c r="U17" s="103" t="s">
        <v>135</v>
      </c>
      <c r="V17" s="103" t="s">
        <v>135</v>
      </c>
      <c r="W17" s="103" t="s">
        <v>135</v>
      </c>
    </row>
    <row r="18" spans="1:25" s="105" customFormat="1" ht="134.25" customHeight="1">
      <c r="A18" s="115" t="s">
        <v>98</v>
      </c>
      <c r="B18" s="98">
        <v>5</v>
      </c>
      <c r="C18" s="99" t="s">
        <v>59</v>
      </c>
      <c r="D18" s="98" t="s">
        <v>99</v>
      </c>
      <c r="E18" s="107" t="s">
        <v>100</v>
      </c>
      <c r="F18" s="108" t="s">
        <v>71</v>
      </c>
      <c r="G18" s="100"/>
      <c r="H18" s="109"/>
      <c r="I18" s="100">
        <v>1</v>
      </c>
      <c r="J18" s="103">
        <f>SUM(K18:R18)</f>
        <v>1609149.3</v>
      </c>
      <c r="K18" s="103" t="s">
        <v>135</v>
      </c>
      <c r="L18" s="103">
        <f>677.9+440+291.7+3.3+376.9+82.5+292.6+311.5</f>
        <v>2476.4</v>
      </c>
      <c r="M18" s="103" t="s">
        <v>135</v>
      </c>
      <c r="N18" s="103" t="s">
        <v>135</v>
      </c>
      <c r="O18" s="103" t="s">
        <v>135</v>
      </c>
      <c r="P18" s="103">
        <v>13351.3</v>
      </c>
      <c r="Q18" s="103">
        <f>3549+275.1+1011.8+898.5+323.6+81.1+47+31.9+22.8</f>
        <v>6240.8</v>
      </c>
      <c r="R18" s="103">
        <f>1381675+96.2+351.8+9.6+1+4.4+11+476.6+11.8+2.7+13.7+183434+20993</f>
        <v>1587080.8</v>
      </c>
      <c r="S18" s="103">
        <f>1381675+96.2+351.8+9.6+1+4.4+11+476.6+11.8+2.7+13.7+183434+20993</f>
        <v>1587080.8</v>
      </c>
      <c r="T18" s="103">
        <f>3549+379526+339045.1+243589.4+275.1+1011.9+440+291.7+323.6+81.1+3.3+47+82.5+13351.3+96.2+351.8+11+22.8+13.7</f>
        <v>982112.5</v>
      </c>
      <c r="U18" s="103">
        <f>379526+339045.1+243589.4+275.1+3.3+82.5+47+13351.3+96.2+351.8+11+22.8+13.7</f>
        <v>976415.20000000007</v>
      </c>
      <c r="V18" s="103" t="s">
        <v>135</v>
      </c>
      <c r="W18" s="104">
        <f>U18*100/T18</f>
        <v>99.419893342157849</v>
      </c>
    </row>
    <row r="19" spans="1:25" s="105" customFormat="1" ht="231" customHeight="1">
      <c r="A19" s="115" t="s">
        <v>123</v>
      </c>
      <c r="B19" s="98">
        <v>6</v>
      </c>
      <c r="C19" s="99" t="s">
        <v>112</v>
      </c>
      <c r="D19" s="147" t="s">
        <v>113</v>
      </c>
      <c r="E19" s="107" t="s">
        <v>100</v>
      </c>
      <c r="F19" s="108" t="s">
        <v>71</v>
      </c>
      <c r="G19" s="103">
        <v>136343.5</v>
      </c>
      <c r="H19" s="109"/>
      <c r="I19" s="100">
        <v>1</v>
      </c>
      <c r="J19" s="103">
        <f>K19+L19+O19+P19+Q19+R19+N19</f>
        <v>147436.9</v>
      </c>
      <c r="K19" s="103">
        <v>102.4</v>
      </c>
      <c r="L19" s="103">
        <v>1955.2</v>
      </c>
      <c r="M19" s="103" t="s">
        <v>135</v>
      </c>
      <c r="N19" s="103">
        <v>65.900000000000006</v>
      </c>
      <c r="O19" s="103">
        <v>396.5</v>
      </c>
      <c r="P19" s="103">
        <v>28.4</v>
      </c>
      <c r="Q19" s="103">
        <v>1912</v>
      </c>
      <c r="R19" s="103">
        <v>142976.5</v>
      </c>
      <c r="S19" s="103">
        <v>122.3</v>
      </c>
      <c r="T19" s="103">
        <v>34235</v>
      </c>
      <c r="U19" s="103">
        <v>34150.400000000001</v>
      </c>
      <c r="V19" s="100">
        <v>138.30000000000001</v>
      </c>
      <c r="W19" s="104">
        <f>U19*100/T19</f>
        <v>99.752884474952538</v>
      </c>
      <c r="X19" s="137"/>
      <c r="Y19" s="137"/>
    </row>
    <row r="20" spans="1:25" s="105" customFormat="1" ht="195.75" customHeight="1">
      <c r="A20" s="115" t="s">
        <v>124</v>
      </c>
      <c r="B20" s="98">
        <v>7</v>
      </c>
      <c r="C20" s="99" t="s">
        <v>109</v>
      </c>
      <c r="D20" s="98" t="s">
        <v>108</v>
      </c>
      <c r="E20" s="107" t="s">
        <v>110</v>
      </c>
      <c r="F20" s="108" t="s">
        <v>111</v>
      </c>
      <c r="G20" s="100"/>
      <c r="H20" s="109"/>
      <c r="I20" s="100">
        <v>1</v>
      </c>
      <c r="J20" s="103">
        <v>82.7</v>
      </c>
      <c r="K20" s="103" t="s">
        <v>135</v>
      </c>
      <c r="L20" s="103" t="s">
        <v>135</v>
      </c>
      <c r="M20" s="103" t="s">
        <v>135</v>
      </c>
      <c r="N20" s="103" t="s">
        <v>135</v>
      </c>
      <c r="O20" s="103" t="s">
        <v>135</v>
      </c>
      <c r="P20" s="103" t="s">
        <v>135</v>
      </c>
      <c r="Q20" s="103" t="s">
        <v>135</v>
      </c>
      <c r="R20" s="103">
        <v>82.7</v>
      </c>
      <c r="S20" s="103" t="s">
        <v>135</v>
      </c>
      <c r="T20" s="103" t="s">
        <v>135</v>
      </c>
      <c r="U20" s="103" t="s">
        <v>135</v>
      </c>
      <c r="V20" s="103" t="s">
        <v>135</v>
      </c>
      <c r="W20" s="103" t="s">
        <v>135</v>
      </c>
    </row>
    <row r="21" spans="1:25" s="105" customFormat="1" ht="75">
      <c r="A21" s="115"/>
      <c r="B21" s="98">
        <v>8</v>
      </c>
      <c r="C21" s="99" t="s">
        <v>105</v>
      </c>
      <c r="D21" s="98" t="s">
        <v>106</v>
      </c>
      <c r="E21" s="107" t="s">
        <v>107</v>
      </c>
      <c r="F21" s="108" t="s">
        <v>71</v>
      </c>
      <c r="G21" s="103">
        <v>394113.9</v>
      </c>
      <c r="H21" s="109"/>
      <c r="I21" s="100">
        <v>1</v>
      </c>
      <c r="J21" s="132">
        <f>SUM(K21:R21)</f>
        <v>416493.7</v>
      </c>
      <c r="K21" s="103">
        <v>0.5</v>
      </c>
      <c r="L21" s="103">
        <v>8715.1</v>
      </c>
      <c r="M21" s="103" t="s">
        <v>135</v>
      </c>
      <c r="N21" s="103" t="s">
        <v>135</v>
      </c>
      <c r="O21" s="103">
        <v>142.9</v>
      </c>
      <c r="P21" s="103" t="s">
        <v>135</v>
      </c>
      <c r="Q21" s="103">
        <v>970.3</v>
      </c>
      <c r="R21" s="103">
        <v>406664.9</v>
      </c>
      <c r="S21" s="103">
        <v>12.6</v>
      </c>
      <c r="T21" s="103">
        <v>1437</v>
      </c>
      <c r="U21" s="103">
        <v>1437</v>
      </c>
      <c r="V21" s="103" t="s">
        <v>135</v>
      </c>
      <c r="W21" s="104">
        <v>100</v>
      </c>
    </row>
    <row r="22" spans="1:25" s="105" customFormat="1" ht="309.75" customHeight="1">
      <c r="A22" s="115"/>
      <c r="B22" s="98">
        <v>9</v>
      </c>
      <c r="C22" s="99" t="s">
        <v>132</v>
      </c>
      <c r="D22" s="98" t="s">
        <v>131</v>
      </c>
      <c r="E22" s="107" t="s">
        <v>129</v>
      </c>
      <c r="F22" s="108" t="s">
        <v>130</v>
      </c>
      <c r="G22" s="100"/>
      <c r="H22" s="109"/>
      <c r="I22" s="100" t="s">
        <v>133</v>
      </c>
      <c r="J22" s="132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4"/>
    </row>
    <row r="23" spans="1:25" s="113" customFormat="1" ht="39.75" customHeight="1">
      <c r="A23" s="116"/>
      <c r="B23" s="186" t="s">
        <v>13</v>
      </c>
      <c r="C23" s="186"/>
      <c r="D23" s="186"/>
      <c r="E23" s="186"/>
      <c r="F23" s="110"/>
      <c r="G23" s="151">
        <v>442677.80000000005</v>
      </c>
      <c r="H23" s="110">
        <v>10406.4</v>
      </c>
      <c r="I23" s="111">
        <v>9</v>
      </c>
      <c r="J23" s="110">
        <v>4486964.07</v>
      </c>
      <c r="K23" s="110">
        <v>47077.5</v>
      </c>
      <c r="L23" s="150">
        <v>19731.2</v>
      </c>
      <c r="M23" s="103" t="s">
        <v>135</v>
      </c>
      <c r="N23" s="150">
        <v>65.900000000000006</v>
      </c>
      <c r="O23" s="110">
        <v>27661.4</v>
      </c>
      <c r="P23" s="110">
        <v>13379.699999999999</v>
      </c>
      <c r="Q23" s="110">
        <v>12374.199999999999</v>
      </c>
      <c r="R23" s="110">
        <v>4366674.1700000009</v>
      </c>
      <c r="S23" s="110">
        <v>1591304.1</v>
      </c>
      <c r="T23" s="110">
        <v>3233754.97</v>
      </c>
      <c r="U23" s="110">
        <v>3195837.27</v>
      </c>
      <c r="V23" s="110">
        <v>21480.399999999998</v>
      </c>
      <c r="W23" s="110">
        <v>98.827440534246776</v>
      </c>
    </row>
    <row r="24" spans="1:25">
      <c r="C24" s="60"/>
      <c r="T24" s="61"/>
      <c r="U24" s="61"/>
      <c r="V24" s="61"/>
      <c r="W24" s="61"/>
      <c r="X24" s="62"/>
    </row>
    <row r="25" spans="1:25" ht="15.75">
      <c r="C25" s="144" t="s">
        <v>122</v>
      </c>
      <c r="E25" s="145"/>
      <c r="X25" s="62"/>
    </row>
    <row r="26" spans="1:25" ht="66.75" customHeight="1">
      <c r="C26" s="167" t="s">
        <v>134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62"/>
    </row>
    <row r="27" spans="1:25">
      <c r="C27" s="63"/>
      <c r="X27" s="62"/>
    </row>
    <row r="28" spans="1:25" ht="15.75">
      <c r="D28" s="144"/>
    </row>
    <row r="33" spans="12:19">
      <c r="L33" s="46"/>
      <c r="M33" s="46"/>
      <c r="N33" s="46"/>
      <c r="O33" s="46"/>
      <c r="P33" s="46"/>
      <c r="Q33" s="46"/>
      <c r="R33" s="46"/>
    </row>
    <row r="35" spans="12:19">
      <c r="S35" s="64"/>
    </row>
  </sheetData>
  <mergeCells count="32">
    <mergeCell ref="C26:W26"/>
    <mergeCell ref="J10:S10"/>
    <mergeCell ref="T10:T12"/>
    <mergeCell ref="U10:W10"/>
    <mergeCell ref="J11:J12"/>
    <mergeCell ref="K11:K12"/>
    <mergeCell ref="L11:L12"/>
    <mergeCell ref="M11:M12"/>
    <mergeCell ref="N11:N12"/>
    <mergeCell ref="O11:O12"/>
    <mergeCell ref="P11:P12"/>
    <mergeCell ref="Q11:Q12"/>
    <mergeCell ref="R11:S11"/>
    <mergeCell ref="U11:U12"/>
    <mergeCell ref="W11:W12"/>
    <mergeCell ref="B23:E23"/>
    <mergeCell ref="R9:U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8:W8"/>
    <mergeCell ref="T2:W2"/>
    <mergeCell ref="T3:W3"/>
    <mergeCell ref="T4:W4"/>
    <mergeCell ref="B6:W6"/>
    <mergeCell ref="B7:W7"/>
  </mergeCells>
  <pageMargins left="0.15748031496062992" right="0.15748031496062992" top="0.98425196850393704" bottom="0.19685039370078741" header="0.51181102362204722" footer="0.51181102362204722"/>
  <pageSetup paperSize="9" scale="41" fitToHeight="0" orientation="landscape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Y35"/>
  <sheetViews>
    <sheetView showZeros="0" topLeftCell="B20" zoomScale="50" zoomScaleNormal="50" workbookViewId="0">
      <selection activeCell="G23" sqref="G23"/>
    </sheetView>
  </sheetViews>
  <sheetFormatPr defaultRowHeight="12.75"/>
  <cols>
    <col min="1" max="1" width="7.42578125" style="114" hidden="1" customWidth="1"/>
    <col min="2" max="2" width="5" style="43" customWidth="1"/>
    <col min="3" max="3" width="39.28515625" style="44" customWidth="1"/>
    <col min="4" max="4" width="36.42578125" style="44" customWidth="1"/>
    <col min="5" max="5" width="16.85546875" style="45" customWidth="1"/>
    <col min="6" max="6" width="16.140625" style="45" customWidth="1"/>
    <col min="7" max="8" width="15.42578125" style="45" customWidth="1"/>
    <col min="9" max="9" width="12.85546875" style="45" customWidth="1"/>
    <col min="10" max="10" width="15" style="46" customWidth="1"/>
    <col min="11" max="11" width="11.28515625" style="46" customWidth="1"/>
    <col min="12" max="12" width="13.85546875" style="47" customWidth="1"/>
    <col min="13" max="13" width="11.5703125" style="47" customWidth="1"/>
    <col min="14" max="15" width="11.140625" style="47" customWidth="1"/>
    <col min="16" max="16" width="14.140625" style="47" customWidth="1"/>
    <col min="17" max="18" width="15.28515625" style="47" customWidth="1"/>
    <col min="19" max="19" width="17.5703125" style="47" customWidth="1"/>
    <col min="20" max="20" width="18.140625" style="47" customWidth="1"/>
    <col min="21" max="21" width="15.140625" style="47" customWidth="1"/>
    <col min="22" max="22" width="16.85546875" style="47" customWidth="1"/>
    <col min="23" max="23" width="16" style="47" customWidth="1"/>
    <col min="24" max="24" width="13.42578125" style="47" customWidth="1"/>
    <col min="25" max="16384" width="9.140625" style="47"/>
  </cols>
  <sheetData>
    <row r="1" spans="1:24">
      <c r="G1" s="45" t="s">
        <v>95</v>
      </c>
    </row>
    <row r="2" spans="1:24" ht="21" customHeight="1">
      <c r="T2" s="153" t="s">
        <v>17</v>
      </c>
      <c r="U2" s="153"/>
      <c r="V2" s="153"/>
      <c r="W2" s="153"/>
    </row>
    <row r="3" spans="1:24" ht="21.75" customHeight="1">
      <c r="R3" s="48"/>
      <c r="S3" s="48"/>
      <c r="T3" s="154" t="s">
        <v>87</v>
      </c>
      <c r="U3" s="154"/>
      <c r="V3" s="154"/>
      <c r="W3" s="154"/>
      <c r="X3" s="48"/>
    </row>
    <row r="4" spans="1:24" ht="26.25">
      <c r="R4" s="48"/>
      <c r="S4" s="48"/>
      <c r="T4" s="155" t="s">
        <v>126</v>
      </c>
      <c r="U4" s="155"/>
      <c r="V4" s="155"/>
      <c r="W4" s="155"/>
      <c r="X4" s="48"/>
    </row>
    <row r="5" spans="1:24" ht="14.25" customHeight="1">
      <c r="R5" s="48"/>
      <c r="S5" s="48"/>
      <c r="U5" s="97"/>
      <c r="V5" s="97"/>
      <c r="X5" s="48"/>
    </row>
    <row r="6" spans="1:24" ht="30" customHeight="1">
      <c r="B6" s="156" t="s">
        <v>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</row>
    <row r="7" spans="1:24" ht="25.5">
      <c r="B7" s="157" t="s">
        <v>52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4" ht="25.5">
      <c r="B8" s="152" t="s">
        <v>96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</row>
    <row r="9" spans="1:24">
      <c r="R9" s="158" t="s">
        <v>39</v>
      </c>
      <c r="S9" s="158"/>
      <c r="T9" s="158"/>
      <c r="U9" s="159"/>
      <c r="V9" s="118"/>
    </row>
    <row r="10" spans="1:24" ht="48.75" customHeight="1">
      <c r="A10" s="160" t="s">
        <v>97</v>
      </c>
      <c r="B10" s="161" t="s">
        <v>1</v>
      </c>
      <c r="C10" s="162" t="s">
        <v>3</v>
      </c>
      <c r="D10" s="162" t="s">
        <v>4</v>
      </c>
      <c r="E10" s="162" t="s">
        <v>5</v>
      </c>
      <c r="F10" s="163" t="s">
        <v>6</v>
      </c>
      <c r="G10" s="163" t="s">
        <v>38</v>
      </c>
      <c r="H10" s="164" t="s">
        <v>37</v>
      </c>
      <c r="I10" s="163" t="s">
        <v>7</v>
      </c>
      <c r="J10" s="168" t="s">
        <v>10</v>
      </c>
      <c r="K10" s="169"/>
      <c r="L10" s="169"/>
      <c r="M10" s="169"/>
      <c r="N10" s="169"/>
      <c r="O10" s="169"/>
      <c r="P10" s="169"/>
      <c r="Q10" s="169"/>
      <c r="R10" s="169"/>
      <c r="S10" s="170"/>
      <c r="T10" s="171" t="s">
        <v>31</v>
      </c>
      <c r="U10" s="162" t="s">
        <v>54</v>
      </c>
      <c r="V10" s="162"/>
      <c r="W10" s="162"/>
    </row>
    <row r="11" spans="1:24" ht="48" customHeight="1">
      <c r="A11" s="160"/>
      <c r="B11" s="161"/>
      <c r="C11" s="162"/>
      <c r="D11" s="162"/>
      <c r="E11" s="162"/>
      <c r="F11" s="163"/>
      <c r="G11" s="163"/>
      <c r="H11" s="165"/>
      <c r="I11" s="163"/>
      <c r="J11" s="174" t="s">
        <v>36</v>
      </c>
      <c r="K11" s="176" t="s">
        <v>90</v>
      </c>
      <c r="L11" s="178" t="s">
        <v>41</v>
      </c>
      <c r="M11" s="180" t="s">
        <v>42</v>
      </c>
      <c r="N11" s="178" t="s">
        <v>35</v>
      </c>
      <c r="O11" s="180" t="s">
        <v>92</v>
      </c>
      <c r="P11" s="180" t="s">
        <v>91</v>
      </c>
      <c r="Q11" s="178" t="s">
        <v>93</v>
      </c>
      <c r="R11" s="182" t="s">
        <v>9</v>
      </c>
      <c r="S11" s="182"/>
      <c r="T11" s="172"/>
      <c r="U11" s="183" t="s">
        <v>128</v>
      </c>
      <c r="V11" s="117" t="s">
        <v>101</v>
      </c>
      <c r="W11" s="184" t="s">
        <v>102</v>
      </c>
    </row>
    <row r="12" spans="1:24" ht="154.5" customHeight="1">
      <c r="A12" s="160"/>
      <c r="B12" s="161"/>
      <c r="C12" s="162"/>
      <c r="D12" s="162"/>
      <c r="E12" s="162"/>
      <c r="F12" s="163"/>
      <c r="G12" s="163"/>
      <c r="H12" s="166"/>
      <c r="I12" s="163"/>
      <c r="J12" s="175"/>
      <c r="K12" s="177"/>
      <c r="L12" s="179"/>
      <c r="M12" s="181"/>
      <c r="N12" s="179"/>
      <c r="O12" s="181"/>
      <c r="P12" s="181"/>
      <c r="Q12" s="179"/>
      <c r="R12" s="34" t="s">
        <v>89</v>
      </c>
      <c r="S12" s="25" t="s">
        <v>94</v>
      </c>
      <c r="T12" s="173"/>
      <c r="U12" s="183"/>
      <c r="V12" s="143" t="s">
        <v>125</v>
      </c>
      <c r="W12" s="185"/>
    </row>
    <row r="13" spans="1:24" ht="12.75" customHeight="1">
      <c r="B13" s="51">
        <v>1</v>
      </c>
      <c r="C13" s="52">
        <v>2</v>
      </c>
      <c r="D13" s="51">
        <v>3</v>
      </c>
      <c r="E13" s="53">
        <v>4</v>
      </c>
      <c r="F13" s="54">
        <v>5</v>
      </c>
      <c r="G13" s="53">
        <v>6</v>
      </c>
      <c r="H13" s="53">
        <v>7</v>
      </c>
      <c r="I13" s="53">
        <v>8</v>
      </c>
      <c r="J13" s="53">
        <v>9</v>
      </c>
      <c r="K13" s="53">
        <v>10</v>
      </c>
      <c r="L13" s="53">
        <v>11</v>
      </c>
      <c r="M13" s="53">
        <v>12</v>
      </c>
      <c r="N13" s="53">
        <v>13</v>
      </c>
      <c r="O13" s="53">
        <v>14</v>
      </c>
      <c r="P13" s="53">
        <v>15</v>
      </c>
      <c r="Q13" s="53">
        <v>16</v>
      </c>
      <c r="R13" s="53">
        <v>17</v>
      </c>
      <c r="S13" s="53">
        <v>18</v>
      </c>
      <c r="T13" s="53">
        <v>19</v>
      </c>
      <c r="U13" s="53">
        <v>20</v>
      </c>
      <c r="V13" s="53">
        <v>21</v>
      </c>
      <c r="W13" s="53">
        <v>22</v>
      </c>
    </row>
    <row r="14" spans="1:24" s="105" customFormat="1" ht="127.5" customHeight="1">
      <c r="A14" s="115" t="s">
        <v>67</v>
      </c>
      <c r="B14" s="98">
        <v>1</v>
      </c>
      <c r="C14" s="99" t="s">
        <v>65</v>
      </c>
      <c r="D14" s="98" t="s">
        <v>55</v>
      </c>
      <c r="E14" s="100" t="s">
        <v>64</v>
      </c>
      <c r="F14" s="101" t="s">
        <v>71</v>
      </c>
      <c r="G14" s="102">
        <v>389546.9</v>
      </c>
      <c r="H14" s="100"/>
      <c r="I14" s="100">
        <v>1</v>
      </c>
      <c r="J14" s="103">
        <f>SUM(K14:R14)</f>
        <v>2230672.37</v>
      </c>
      <c r="K14" s="103">
        <v>0</v>
      </c>
      <c r="L14" s="103">
        <v>6584.5</v>
      </c>
      <c r="M14" s="103">
        <v>0</v>
      </c>
      <c r="N14" s="103">
        <v>0</v>
      </c>
      <c r="O14" s="103">
        <f>'по участникам'!O12</f>
        <v>11823.5</v>
      </c>
      <c r="P14" s="103">
        <v>0</v>
      </c>
      <c r="Q14" s="103">
        <v>0</v>
      </c>
      <c r="R14" s="103">
        <f>'по участникам'!R12</f>
        <v>2212264.37</v>
      </c>
      <c r="S14" s="103">
        <v>0</v>
      </c>
      <c r="T14" s="103">
        <f>'по участникам'!T12</f>
        <v>2201214.37</v>
      </c>
      <c r="U14" s="103">
        <f>'по участникам'!U12</f>
        <v>2170776.67</v>
      </c>
      <c r="V14" s="103">
        <f>328.5+20801.5</f>
        <v>21130</v>
      </c>
      <c r="W14" s="104">
        <f>U14*100/T14</f>
        <v>98.617231451201178</v>
      </c>
    </row>
    <row r="15" spans="1:24" s="105" customFormat="1" ht="132" customHeight="1">
      <c r="A15" s="115" t="s">
        <v>68</v>
      </c>
      <c r="B15" s="98">
        <v>2</v>
      </c>
      <c r="C15" s="99" t="s">
        <v>59</v>
      </c>
      <c r="D15" s="106" t="s">
        <v>117</v>
      </c>
      <c r="E15" s="107" t="s">
        <v>57</v>
      </c>
      <c r="F15" s="108" t="s">
        <v>71</v>
      </c>
      <c r="G15" s="102">
        <v>6530.9</v>
      </c>
      <c r="H15" s="103">
        <v>10406.4</v>
      </c>
      <c r="I15" s="100">
        <v>1</v>
      </c>
      <c r="J15" s="103">
        <f>SUM(K15:R15)</f>
        <v>21230.600000000002</v>
      </c>
      <c r="K15" s="103">
        <v>374.6</v>
      </c>
      <c r="L15" s="103"/>
      <c r="M15" s="103"/>
      <c r="N15" s="103"/>
      <c r="O15" s="103"/>
      <c r="P15" s="103"/>
      <c r="Q15" s="103">
        <v>3251.1</v>
      </c>
      <c r="R15" s="103">
        <f>'по участникам'!R19</f>
        <v>17604.900000000001</v>
      </c>
      <c r="S15" s="103">
        <f>'по участникам'!S19</f>
        <v>4088.4</v>
      </c>
      <c r="T15" s="103">
        <f>'по участникам'!T19</f>
        <v>14756.1</v>
      </c>
      <c r="U15" s="103">
        <v>13058</v>
      </c>
      <c r="V15" s="103">
        <v>212.1</v>
      </c>
      <c r="W15" s="104">
        <f>U15*100/T15</f>
        <v>88.492216778145988</v>
      </c>
    </row>
    <row r="16" spans="1:24" s="105" customFormat="1" ht="143.25" customHeight="1">
      <c r="A16" s="115" t="s">
        <v>66</v>
      </c>
      <c r="B16" s="98">
        <v>3</v>
      </c>
      <c r="C16" s="99" t="s">
        <v>69</v>
      </c>
      <c r="D16" s="98" t="s">
        <v>55</v>
      </c>
      <c r="E16" s="107" t="s">
        <v>70</v>
      </c>
      <c r="F16" s="108" t="s">
        <v>88</v>
      </c>
      <c r="G16" s="102">
        <v>46600</v>
      </c>
      <c r="H16" s="109"/>
      <c r="I16" s="100">
        <v>1</v>
      </c>
      <c r="J16" s="103">
        <f>SUM(K16:R16)</f>
        <v>46600</v>
      </c>
      <c r="K16" s="103">
        <v>46600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4">
        <v>0</v>
      </c>
    </row>
    <row r="17" spans="1:25" s="105" customFormat="1" ht="134.25" customHeight="1">
      <c r="A17" s="115" t="s">
        <v>73</v>
      </c>
      <c r="B17" s="98">
        <v>4</v>
      </c>
      <c r="C17" s="99" t="s">
        <v>72</v>
      </c>
      <c r="D17" s="98" t="s">
        <v>55</v>
      </c>
      <c r="E17" s="107" t="s">
        <v>74</v>
      </c>
      <c r="F17" s="108" t="s">
        <v>75</v>
      </c>
      <c r="G17" s="100"/>
      <c r="H17" s="109"/>
      <c r="I17" s="100">
        <v>1</v>
      </c>
      <c r="J17" s="132">
        <f>SUM(K17:R17)</f>
        <v>15298.5</v>
      </c>
      <c r="K17" s="103"/>
      <c r="L17" s="103"/>
      <c r="M17" s="103"/>
      <c r="N17" s="103"/>
      <c r="O17" s="103">
        <v>15298.5</v>
      </c>
      <c r="P17" s="103"/>
      <c r="Q17" s="103"/>
      <c r="R17" s="132"/>
      <c r="S17" s="103"/>
      <c r="T17" s="103"/>
      <c r="U17" s="103"/>
      <c r="V17" s="103"/>
      <c r="W17" s="104"/>
    </row>
    <row r="18" spans="1:25" s="105" customFormat="1" ht="134.25" customHeight="1">
      <c r="A18" s="115" t="s">
        <v>98</v>
      </c>
      <c r="B18" s="98">
        <v>5</v>
      </c>
      <c r="C18" s="99" t="s">
        <v>59</v>
      </c>
      <c r="D18" s="98" t="s">
        <v>99</v>
      </c>
      <c r="E18" s="107" t="s">
        <v>100</v>
      </c>
      <c r="F18" s="108" t="s">
        <v>71</v>
      </c>
      <c r="G18" s="100"/>
      <c r="H18" s="109"/>
      <c r="I18" s="100">
        <v>1</v>
      </c>
      <c r="J18" s="103">
        <f>SUM(K18:R18)</f>
        <v>1609149.3</v>
      </c>
      <c r="K18" s="103"/>
      <c r="L18" s="103">
        <f>677.9+440+291.7+3.3+376.9+82.5+292.6+311.5</f>
        <v>2476.4</v>
      </c>
      <c r="M18" s="103"/>
      <c r="N18" s="103"/>
      <c r="O18" s="103"/>
      <c r="P18" s="103">
        <v>13351.3</v>
      </c>
      <c r="Q18" s="103">
        <f>3549+275.1+1011.8+898.5+323.6+81.1+47+31.9+22.8</f>
        <v>6240.8</v>
      </c>
      <c r="R18" s="103">
        <f>1381675+96.2+351.8+9.6+1+4.4+11+476.6+11.8+2.7+13.7+183434+20993</f>
        <v>1587080.8</v>
      </c>
      <c r="S18" s="103">
        <f>1381675+96.2+351.8+9.6+1+4.4+11+476.6+11.8+2.7+13.7+183434+20993</f>
        <v>1587080.8</v>
      </c>
      <c r="T18" s="103">
        <f>3549+379526+339045.1+243589.4+275.1+1011.9+440+291.7+323.6+81.1+3.3+47+82.5+13351.3+96.2+351.8+11+22.8+13.7</f>
        <v>982112.5</v>
      </c>
      <c r="U18" s="103">
        <f>379526+339045.1+243589.4+275.1+3.3+82.5+47+13351.3+96.2+351.8+11+22.8+13.7</f>
        <v>976415.20000000007</v>
      </c>
      <c r="V18" s="103"/>
      <c r="W18" s="104">
        <f>U18*100/T18</f>
        <v>99.419893342157849</v>
      </c>
    </row>
    <row r="19" spans="1:25" s="105" customFormat="1" ht="231" customHeight="1">
      <c r="A19" s="115" t="s">
        <v>123</v>
      </c>
      <c r="B19" s="98">
        <v>6</v>
      </c>
      <c r="C19" s="99" t="s">
        <v>112</v>
      </c>
      <c r="D19" s="119" t="s">
        <v>113</v>
      </c>
      <c r="E19" s="107" t="s">
        <v>100</v>
      </c>
      <c r="F19" s="108" t="s">
        <v>71</v>
      </c>
      <c r="G19" s="103">
        <v>136343.5</v>
      </c>
      <c r="H19" s="109"/>
      <c r="I19" s="100">
        <v>1</v>
      </c>
      <c r="J19" s="103">
        <f>K19+L19+M19+N19+O19+P19+Q19+R19</f>
        <v>147436.9</v>
      </c>
      <c r="K19" s="103">
        <v>102.4</v>
      </c>
      <c r="L19" s="103">
        <v>1955.2</v>
      </c>
      <c r="M19" s="103">
        <v>0</v>
      </c>
      <c r="N19" s="103">
        <v>65.900000000000006</v>
      </c>
      <c r="O19" s="103">
        <v>396.5</v>
      </c>
      <c r="P19" s="103">
        <v>28.4</v>
      </c>
      <c r="Q19" s="103">
        <v>1912</v>
      </c>
      <c r="R19" s="103">
        <v>142976.5</v>
      </c>
      <c r="S19" s="103">
        <v>122.3</v>
      </c>
      <c r="T19" s="103">
        <v>34235</v>
      </c>
      <c r="U19" s="103">
        <v>34150.400000000001</v>
      </c>
      <c r="V19" s="100">
        <v>138.30000000000001</v>
      </c>
      <c r="W19" s="104">
        <f>U19*100/T19</f>
        <v>99.752884474952538</v>
      </c>
      <c r="X19" s="137"/>
      <c r="Y19" s="137"/>
    </row>
    <row r="20" spans="1:25" s="105" customFormat="1" ht="195.75" customHeight="1">
      <c r="A20" s="115" t="s">
        <v>124</v>
      </c>
      <c r="B20" s="98">
        <v>7</v>
      </c>
      <c r="C20" s="99" t="s">
        <v>109</v>
      </c>
      <c r="D20" s="98" t="s">
        <v>108</v>
      </c>
      <c r="E20" s="107" t="s">
        <v>110</v>
      </c>
      <c r="F20" s="108" t="s">
        <v>111</v>
      </c>
      <c r="G20" s="100"/>
      <c r="H20" s="109"/>
      <c r="I20" s="100">
        <v>1</v>
      </c>
      <c r="J20" s="103">
        <v>82.7</v>
      </c>
      <c r="K20" s="103"/>
      <c r="L20" s="103"/>
      <c r="M20" s="103"/>
      <c r="N20" s="103"/>
      <c r="O20" s="103"/>
      <c r="P20" s="103"/>
      <c r="Q20" s="103"/>
      <c r="R20" s="103">
        <v>82.7</v>
      </c>
      <c r="S20" s="103"/>
      <c r="T20" s="103"/>
      <c r="U20" s="103"/>
      <c r="V20" s="103"/>
      <c r="W20" s="104"/>
    </row>
    <row r="21" spans="1:25" s="105" customFormat="1" ht="75">
      <c r="A21" s="115"/>
      <c r="B21" s="98">
        <v>8</v>
      </c>
      <c r="C21" s="99" t="s">
        <v>105</v>
      </c>
      <c r="D21" s="98" t="s">
        <v>106</v>
      </c>
      <c r="E21" s="107" t="s">
        <v>107</v>
      </c>
      <c r="F21" s="108" t="s">
        <v>71</v>
      </c>
      <c r="G21" s="100">
        <v>394113.9</v>
      </c>
      <c r="H21" s="109"/>
      <c r="I21" s="100">
        <v>1</v>
      </c>
      <c r="J21" s="132">
        <f>SUM(K21:R21)</f>
        <v>416493.7</v>
      </c>
      <c r="K21" s="103">
        <v>0.5</v>
      </c>
      <c r="L21" s="103">
        <v>8715.1</v>
      </c>
      <c r="M21" s="103"/>
      <c r="N21" s="103"/>
      <c r="O21" s="103">
        <v>142.9</v>
      </c>
      <c r="P21" s="103"/>
      <c r="Q21" s="103">
        <v>970.3</v>
      </c>
      <c r="R21" s="103">
        <v>406664.9</v>
      </c>
      <c r="S21" s="103">
        <v>12.6</v>
      </c>
      <c r="T21" s="103">
        <v>1437</v>
      </c>
      <c r="U21" s="103">
        <v>1437</v>
      </c>
      <c r="V21" s="103"/>
      <c r="W21" s="104">
        <v>100</v>
      </c>
    </row>
    <row r="22" spans="1:25" s="105" customFormat="1" ht="309.75" customHeight="1">
      <c r="A22" s="115"/>
      <c r="B22" s="98">
        <v>9</v>
      </c>
      <c r="C22" s="99" t="s">
        <v>132</v>
      </c>
      <c r="D22" s="98" t="s">
        <v>131</v>
      </c>
      <c r="E22" s="107" t="s">
        <v>129</v>
      </c>
      <c r="F22" s="108" t="s">
        <v>130</v>
      </c>
      <c r="G22" s="100"/>
      <c r="H22" s="109"/>
      <c r="I22" s="100" t="s">
        <v>133</v>
      </c>
      <c r="J22" s="132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4"/>
    </row>
    <row r="23" spans="1:25" s="113" customFormat="1" ht="39.75" customHeight="1">
      <c r="A23" s="116"/>
      <c r="B23" s="186" t="s">
        <v>13</v>
      </c>
      <c r="C23" s="186"/>
      <c r="D23" s="186"/>
      <c r="E23" s="186"/>
      <c r="F23" s="110"/>
      <c r="G23" s="110">
        <f>SUM(G14:G22)</f>
        <v>973135.20000000007</v>
      </c>
      <c r="H23" s="110">
        <f>SUM(H14:H22)</f>
        <v>10406.4</v>
      </c>
      <c r="I23" s="111">
        <f>I14+I15+I16+I17+I18+I19+I20+I21+1</f>
        <v>9</v>
      </c>
      <c r="J23" s="110">
        <f>J14+J15+J16+J17+J18+J19+J20+J21</f>
        <v>4486964.07</v>
      </c>
      <c r="K23" s="110">
        <f t="shared" ref="K23:V23" si="0">K14+K15+K16+K17+K18+K19+K20+K21</f>
        <v>47077.5</v>
      </c>
      <c r="L23" s="110">
        <f t="shared" si="0"/>
        <v>19731.2</v>
      </c>
      <c r="M23" s="111">
        <f t="shared" si="0"/>
        <v>0</v>
      </c>
      <c r="N23" s="110">
        <f t="shared" si="0"/>
        <v>65.900000000000006</v>
      </c>
      <c r="O23" s="110">
        <f t="shared" si="0"/>
        <v>27661.4</v>
      </c>
      <c r="P23" s="110">
        <f t="shared" si="0"/>
        <v>13379.699999999999</v>
      </c>
      <c r="Q23" s="110">
        <f t="shared" si="0"/>
        <v>12374.199999999999</v>
      </c>
      <c r="R23" s="110">
        <f t="shared" si="0"/>
        <v>4366674.1700000009</v>
      </c>
      <c r="S23" s="110">
        <f t="shared" si="0"/>
        <v>1591304.1</v>
      </c>
      <c r="T23" s="110">
        <f t="shared" si="0"/>
        <v>3233754.97</v>
      </c>
      <c r="U23" s="110">
        <f t="shared" si="0"/>
        <v>3195837.27</v>
      </c>
      <c r="V23" s="110">
        <f t="shared" si="0"/>
        <v>21480.399999999998</v>
      </c>
      <c r="W23" s="112">
        <f>U23*100/T23</f>
        <v>98.827440534246776</v>
      </c>
    </row>
    <row r="24" spans="1:25">
      <c r="C24" s="60"/>
      <c r="T24" s="61"/>
      <c r="U24" s="61"/>
      <c r="V24" s="61"/>
      <c r="W24" s="61"/>
      <c r="X24" s="62"/>
    </row>
    <row r="25" spans="1:25" ht="15.75">
      <c r="C25" s="144" t="s">
        <v>122</v>
      </c>
      <c r="E25" s="145"/>
      <c r="X25" s="62"/>
    </row>
    <row r="26" spans="1:25" ht="66.75" customHeight="1">
      <c r="C26" s="167" t="s">
        <v>134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62"/>
    </row>
    <row r="27" spans="1:25">
      <c r="C27" s="63"/>
      <c r="X27" s="62"/>
    </row>
    <row r="28" spans="1:25" ht="15.75">
      <c r="D28" s="144"/>
    </row>
    <row r="33" spans="12:19">
      <c r="L33" s="46"/>
      <c r="M33" s="46"/>
      <c r="N33" s="46"/>
      <c r="O33" s="46"/>
      <c r="P33" s="46"/>
      <c r="Q33" s="46"/>
      <c r="R33" s="46"/>
    </row>
    <row r="35" spans="12:19">
      <c r="S35" s="64"/>
    </row>
  </sheetData>
  <sheetProtection password="CC7D" sheet="1" objects="1" scenarios="1" formatCells="0" formatColumns="0" formatRows="0" insertColumns="0" insertRows="0" insertHyperlinks="0" deleteColumns="0" deleteRows="0" sort="0" autoFilter="0" pivotTables="0"/>
  <customSheetViews>
    <customSheetView guid="{BEC093EF-36E8-44C9-B149-04F53FD388A3}" scale="60" showPageBreaks="1" zeroValues="0" fitToPage="1" printArea="1" hiddenRows="1" view="pageBreakPreview" topLeftCell="B1">
      <pane xSplit="1" ySplit="12" topLeftCell="F19" activePane="bottomRight" state="frozen"/>
      <selection pane="bottomRight" activeCell="S19" sqref="S19"/>
      <pageMargins left="0.15748031496062992" right="0.15748031496062992" top="0.78740157480314965" bottom="0.39370078740157483" header="0.51181102362204722" footer="0.51181102362204722"/>
      <pageSetup paperSize="9" scale="42" fitToHeight="0" orientation="landscape" r:id="rId1"/>
      <headerFooter alignWithMargins="0"/>
    </customSheetView>
    <customSheetView guid="{96D40A43-B422-454D-9193-41896328F0D9}" scale="53" showPageBreaks="1" zeroValues="0" topLeftCell="D9">
      <pane ySplit="4" topLeftCell="A20" activePane="bottomLeft" state="frozen"/>
      <selection pane="bottomLeft" activeCell="V22" sqref="V22"/>
      <pageMargins left="0.15748031496062992" right="0.15748031496062992" top="0.98425196850393704" bottom="0.19685039370078741" header="0.51181102362204722" footer="0.51181102362204722"/>
      <pageSetup paperSize="9" scale="28" orientation="landscape" r:id="rId2"/>
      <headerFooter alignWithMargins="0"/>
    </customSheetView>
    <customSheetView guid="{389735FE-414E-4CFC-9E6A-1AAFE3243A62}" scale="95" showPageBreaks="1" zeroValues="0" topLeftCell="G12">
      <selection activeCell="J15" sqref="J15"/>
      <pageMargins left="0.16" right="0.16" top="0.98425196850393704" bottom="0.39370078740157483" header="0.51181102362204722" footer="0.51181102362204722"/>
      <pageSetup paperSize="9" scale="45" orientation="landscape" r:id="rId3"/>
      <headerFooter alignWithMargins="0"/>
    </customSheetView>
    <customSheetView guid="{A8ABFFD1-522C-4CFD-BCF6-18D62DEFABFD}" scale="95" zeroValues="0" topLeftCell="A4">
      <pane xSplit="3" ySplit="9" topLeftCell="I13" activePane="bottomRight" state="frozen"/>
      <selection pane="bottomRight" activeCell="I25" sqref="I25"/>
      <pageMargins left="0.16" right="0.16" top="0.98425196850393704" bottom="0.39370078740157483" header="0.51181102362204722" footer="0.51181102362204722"/>
      <pageSetup paperSize="9" scale="45" orientation="landscape" r:id="rId4"/>
      <headerFooter alignWithMargins="0"/>
    </customSheetView>
    <customSheetView guid="{9527BC31-5AA4-4529-989B-DC3C25372E22}" scale="80" showPageBreaks="1" zeroValues="0" printArea="1" topLeftCell="A2">
      <pane xSplit="2" ySplit="8" topLeftCell="C10" activePane="bottomRight" state="frozen"/>
      <selection pane="bottomRight" activeCell="W28" sqref="W28"/>
      <pageMargins left="0.16" right="0.16" top="0.98425196850393704" bottom="0.39370078740157483" header="0.51181102362204722" footer="0.51181102362204722"/>
      <pageSetup paperSize="9" scale="45" orientation="landscape" r:id="rId5"/>
      <headerFooter alignWithMargins="0"/>
    </customSheetView>
    <customSheetView guid="{7FBBF0F2-A261-44C7-B144-E52BBCB2C578}" scale="80" showPageBreaks="1" zeroValues="0" topLeftCell="A18">
      <selection activeCell="G19" sqref="G19"/>
      <pageMargins left="0.16" right="0.16" top="0.47" bottom="0.39370078740157483" header="0.51181102362204722" footer="0.51181102362204722"/>
      <pageSetup paperSize="8" scale="45" orientation="landscape" r:id="rId6"/>
      <headerFooter alignWithMargins="0"/>
    </customSheetView>
  </customSheetViews>
  <mergeCells count="32">
    <mergeCell ref="I10:I12"/>
    <mergeCell ref="T2:W2"/>
    <mergeCell ref="T3:W3"/>
    <mergeCell ref="T4:W4"/>
    <mergeCell ref="A10:A12"/>
    <mergeCell ref="B6:W6"/>
    <mergeCell ref="B7:W7"/>
    <mergeCell ref="B8:W8"/>
    <mergeCell ref="R9:U9"/>
    <mergeCell ref="H10:H12"/>
    <mergeCell ref="P11:P12"/>
    <mergeCell ref="U10:W10"/>
    <mergeCell ref="U11:U12"/>
    <mergeCell ref="W11:W12"/>
    <mergeCell ref="T10:T12"/>
    <mergeCell ref="O11:O12"/>
    <mergeCell ref="C26:W26"/>
    <mergeCell ref="B23:E23"/>
    <mergeCell ref="D10:D12"/>
    <mergeCell ref="E10:E12"/>
    <mergeCell ref="K11:K12"/>
    <mergeCell ref="J10:S10"/>
    <mergeCell ref="Q11:Q12"/>
    <mergeCell ref="J11:J12"/>
    <mergeCell ref="L11:L12"/>
    <mergeCell ref="B10:B12"/>
    <mergeCell ref="C10:C12"/>
    <mergeCell ref="R11:S11"/>
    <mergeCell ref="F10:F12"/>
    <mergeCell ref="M11:M12"/>
    <mergeCell ref="N11:N12"/>
    <mergeCell ref="G10:G12"/>
  </mergeCells>
  <phoneticPr fontId="1" type="noConversion"/>
  <pageMargins left="0.15748031496062992" right="0.15748031496062992" top="0.98425196850393704" bottom="0.19685039370078741" header="0.51181102362204722" footer="0.51181102362204722"/>
  <pageSetup paperSize="9" scale="41" fitToHeight="0" orientation="landscape" r:id="rId7"/>
  <headerFooter alignWithMargins="0">
    <oddFooter>&amp;C&amp;P</oddFooter>
  </headerFooter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25"/>
  <sheetViews>
    <sheetView view="pageBreakPreview" zoomScale="58" zoomScaleSheetLayoutView="58" workbookViewId="0">
      <selection activeCell="B14" sqref="B14"/>
    </sheetView>
  </sheetViews>
  <sheetFormatPr defaultRowHeight="15.75"/>
  <cols>
    <col min="1" max="1" width="5" style="3" customWidth="1"/>
    <col min="2" max="2" width="46.5703125" style="2" customWidth="1"/>
    <col min="3" max="3" width="21.5703125" style="2" customWidth="1"/>
    <col min="4" max="4" width="13.85546875" style="4" customWidth="1"/>
    <col min="5" max="5" width="16.7109375" style="4" customWidth="1"/>
    <col min="6" max="7" width="15.42578125" style="4" customWidth="1"/>
    <col min="8" max="8" width="13.7109375" style="4" customWidth="1"/>
    <col min="9" max="9" width="11.5703125" style="5" customWidth="1"/>
    <col min="10" max="10" width="11.28515625" style="5" customWidth="1"/>
    <col min="11" max="12" width="13" style="1" customWidth="1"/>
    <col min="13" max="14" width="12.140625" style="1" customWidth="1"/>
    <col min="15" max="15" width="12.85546875" style="1" customWidth="1"/>
    <col min="16" max="16" width="15.28515625" style="1" customWidth="1"/>
    <col min="17" max="17" width="13.5703125" style="1" customWidth="1"/>
    <col min="18" max="18" width="20.140625" style="1" customWidth="1"/>
    <col min="19" max="19" width="28.7109375" style="1" customWidth="1"/>
    <col min="20" max="20" width="27" style="1" customWidth="1"/>
    <col min="21" max="21" width="13" style="1" customWidth="1"/>
    <col min="22" max="16384" width="9.140625" style="1"/>
  </cols>
  <sheetData>
    <row r="1" spans="1:21" ht="27" customHeight="1">
      <c r="A1" s="10"/>
      <c r="B1" s="11"/>
      <c r="C1" s="11"/>
      <c r="D1" s="12"/>
      <c r="E1" s="12"/>
      <c r="F1" s="12"/>
      <c r="G1" s="12"/>
      <c r="H1" s="12"/>
      <c r="I1" s="13"/>
      <c r="J1" s="13"/>
      <c r="K1" s="195"/>
      <c r="L1" s="195"/>
      <c r="M1" s="195"/>
      <c r="N1" s="195"/>
      <c r="O1" s="195"/>
      <c r="P1" s="195"/>
      <c r="Q1" s="41"/>
      <c r="R1" s="196"/>
      <c r="S1" s="196"/>
      <c r="T1" s="6"/>
      <c r="U1" s="6"/>
    </row>
    <row r="2" spans="1:21" ht="20.25">
      <c r="A2" s="194" t="s">
        <v>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21" ht="20.25">
      <c r="A3" s="197" t="s">
        <v>15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21" ht="20.25">
      <c r="A4" s="198" t="s">
        <v>27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</row>
    <row r="5" spans="1:21" ht="20.25">
      <c r="A5" s="10"/>
      <c r="B5" s="11"/>
      <c r="C5" s="11"/>
      <c r="D5" s="12"/>
      <c r="E5" s="12"/>
      <c r="F5" s="12"/>
      <c r="G5" s="12"/>
      <c r="H5" s="12"/>
      <c r="I5" s="13"/>
      <c r="J5" s="13"/>
      <c r="K5" s="14"/>
      <c r="L5" s="14"/>
      <c r="M5" s="14"/>
      <c r="N5" s="14"/>
      <c r="O5" s="14"/>
      <c r="P5" s="191" t="s">
        <v>8</v>
      </c>
      <c r="Q5" s="191"/>
      <c r="R5" s="191"/>
      <c r="S5" s="192"/>
    </row>
    <row r="6" spans="1:21" ht="30" customHeight="1">
      <c r="A6" s="162" t="s">
        <v>1</v>
      </c>
      <c r="B6" s="162" t="s">
        <v>3</v>
      </c>
      <c r="C6" s="162" t="s">
        <v>4</v>
      </c>
      <c r="D6" s="162" t="s">
        <v>5</v>
      </c>
      <c r="E6" s="163" t="s">
        <v>6</v>
      </c>
      <c r="F6" s="163" t="s">
        <v>43</v>
      </c>
      <c r="G6" s="164" t="s">
        <v>21</v>
      </c>
      <c r="H6" s="163" t="s">
        <v>7</v>
      </c>
      <c r="I6" s="168" t="s">
        <v>10</v>
      </c>
      <c r="J6" s="169"/>
      <c r="K6" s="169"/>
      <c r="L6" s="169"/>
      <c r="M6" s="169"/>
      <c r="N6" s="169"/>
      <c r="O6" s="169"/>
      <c r="P6" s="169"/>
      <c r="Q6" s="170"/>
      <c r="R6" s="171" t="s">
        <v>22</v>
      </c>
      <c r="S6" s="162" t="s">
        <v>23</v>
      </c>
    </row>
    <row r="7" spans="1:21" ht="48" customHeight="1">
      <c r="A7" s="162"/>
      <c r="B7" s="162"/>
      <c r="C7" s="162"/>
      <c r="D7" s="162"/>
      <c r="E7" s="163"/>
      <c r="F7" s="163"/>
      <c r="G7" s="165"/>
      <c r="H7" s="163"/>
      <c r="I7" s="193" t="s">
        <v>0</v>
      </c>
      <c r="J7" s="176" t="s">
        <v>14</v>
      </c>
      <c r="K7" s="178" t="s">
        <v>12</v>
      </c>
      <c r="L7" s="180" t="s">
        <v>24</v>
      </c>
      <c r="M7" s="178" t="s">
        <v>25</v>
      </c>
      <c r="N7" s="180" t="s">
        <v>26</v>
      </c>
      <c r="O7" s="178" t="s">
        <v>11</v>
      </c>
      <c r="P7" s="182" t="s">
        <v>9</v>
      </c>
      <c r="Q7" s="182"/>
      <c r="R7" s="172"/>
      <c r="S7" s="162"/>
    </row>
    <row r="8" spans="1:21" ht="103.5" customHeight="1">
      <c r="A8" s="162"/>
      <c r="B8" s="162"/>
      <c r="C8" s="162"/>
      <c r="D8" s="162"/>
      <c r="E8" s="163"/>
      <c r="F8" s="163"/>
      <c r="G8" s="166"/>
      <c r="H8" s="163"/>
      <c r="I8" s="179"/>
      <c r="J8" s="177"/>
      <c r="K8" s="179"/>
      <c r="L8" s="181"/>
      <c r="M8" s="179"/>
      <c r="N8" s="181"/>
      <c r="O8" s="179"/>
      <c r="P8" s="34" t="s">
        <v>19</v>
      </c>
      <c r="Q8" s="25" t="s">
        <v>20</v>
      </c>
      <c r="R8" s="173"/>
      <c r="S8" s="162"/>
    </row>
    <row r="9" spans="1:21" ht="78.75">
      <c r="A9" s="39">
        <v>1</v>
      </c>
      <c r="B9" s="18" t="s">
        <v>79</v>
      </c>
      <c r="C9" s="15" t="s">
        <v>82</v>
      </c>
      <c r="D9" s="93" t="s">
        <v>81</v>
      </c>
      <c r="E9" s="91" t="s">
        <v>80</v>
      </c>
      <c r="F9" s="21"/>
      <c r="G9" s="21"/>
      <c r="H9" s="22"/>
      <c r="I9" s="19"/>
      <c r="J9" s="21"/>
      <c r="K9" s="21"/>
      <c r="L9" s="21"/>
      <c r="M9" s="36"/>
      <c r="N9" s="36"/>
      <c r="O9" s="21"/>
      <c r="P9" s="21"/>
      <c r="Q9" s="21"/>
      <c r="R9" s="32"/>
      <c r="S9" s="29">
        <f>46.8+229.3+119.4+671.5+1083.9+25.9</f>
        <v>2176.8000000000002</v>
      </c>
      <c r="T9" s="133">
        <v>2176.8000000000002</v>
      </c>
    </row>
    <row r="10" spans="1:21" s="38" customFormat="1" ht="31.5">
      <c r="A10" s="39">
        <v>2</v>
      </c>
      <c r="B10" s="23" t="s">
        <v>79</v>
      </c>
      <c r="C10" s="15" t="s">
        <v>86</v>
      </c>
      <c r="D10" s="24" t="s">
        <v>84</v>
      </c>
      <c r="E10" s="94" t="s">
        <v>83</v>
      </c>
      <c r="F10" s="35"/>
      <c r="G10" s="35"/>
      <c r="H10" s="20"/>
      <c r="I10" s="19"/>
      <c r="J10" s="19"/>
      <c r="K10" s="19"/>
      <c r="L10" s="19"/>
      <c r="M10" s="19"/>
      <c r="N10" s="19"/>
      <c r="O10" s="21"/>
      <c r="P10" s="19"/>
      <c r="Q10" s="19"/>
      <c r="R10" s="29"/>
      <c r="S10" s="29">
        <f>156.35+212.1</f>
        <v>368.45</v>
      </c>
      <c r="T10" s="37">
        <v>368.5</v>
      </c>
    </row>
    <row r="11" spans="1:21" ht="103.5" customHeight="1">
      <c r="A11" s="39">
        <v>3</v>
      </c>
      <c r="B11" s="23" t="s">
        <v>79</v>
      </c>
      <c r="C11" s="15" t="s">
        <v>85</v>
      </c>
      <c r="D11" s="24" t="s">
        <v>84</v>
      </c>
      <c r="E11" s="95" t="s">
        <v>80</v>
      </c>
      <c r="F11" s="42"/>
      <c r="G11" s="40"/>
      <c r="H11" s="16"/>
      <c r="I11" s="19"/>
      <c r="J11" s="19"/>
      <c r="K11" s="17"/>
      <c r="L11" s="17"/>
      <c r="M11" s="40"/>
      <c r="N11" s="40"/>
      <c r="O11" s="40"/>
      <c r="P11" s="40"/>
      <c r="Q11" s="40"/>
      <c r="R11" s="31"/>
      <c r="S11" s="31" t="s">
        <v>121</v>
      </c>
      <c r="T11" s="134">
        <v>5290.4</v>
      </c>
      <c r="U11" s="135">
        <f>T11-3746</f>
        <v>1544.3999999999996</v>
      </c>
    </row>
    <row r="12" spans="1:21" s="7" customFormat="1" ht="44.25" customHeight="1">
      <c r="A12" s="188" t="s">
        <v>13</v>
      </c>
      <c r="B12" s="189"/>
      <c r="C12" s="189"/>
      <c r="D12" s="190"/>
      <c r="E12" s="26"/>
      <c r="F12" s="26">
        <f t="shared" ref="F12:R12" si="0">SUM(F9:F11)</f>
        <v>0</v>
      </c>
      <c r="G12" s="26">
        <f t="shared" si="0"/>
        <v>0</v>
      </c>
      <c r="H12" s="27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33">
        <f t="shared" si="0"/>
        <v>0</v>
      </c>
      <c r="S12" s="33">
        <f>SUM(S9:S11)+3746</f>
        <v>6291.25</v>
      </c>
      <c r="T12" s="134">
        <v>7835.7</v>
      </c>
    </row>
    <row r="13" spans="1:21" s="7" customFormat="1" ht="44.25" customHeight="1">
      <c r="A13" s="138"/>
      <c r="C13" s="138"/>
      <c r="D13" s="138"/>
      <c r="E13" s="139"/>
      <c r="F13" s="139"/>
      <c r="G13" s="139"/>
      <c r="H13" s="140"/>
      <c r="I13" s="139"/>
      <c r="J13" s="139"/>
      <c r="K13" s="139"/>
      <c r="L13" s="139"/>
      <c r="M13" s="139"/>
      <c r="N13" s="139"/>
      <c r="O13" s="139"/>
      <c r="P13" s="139"/>
      <c r="Q13" s="139"/>
      <c r="R13" s="141"/>
      <c r="S13" s="141"/>
      <c r="T13" s="134"/>
    </row>
    <row r="14" spans="1:21">
      <c r="B14" s="142" t="s">
        <v>122</v>
      </c>
      <c r="R14" s="30"/>
      <c r="S14" s="30"/>
      <c r="T14" s="30"/>
      <c r="U14" s="8"/>
    </row>
    <row r="15" spans="1:21" ht="37.5" customHeight="1">
      <c r="B15" s="187" t="s">
        <v>127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U15" s="8"/>
    </row>
    <row r="16" spans="1:21">
      <c r="B16" s="9"/>
      <c r="U16" s="8"/>
    </row>
    <row r="17" spans="2:21">
      <c r="B17" s="9"/>
      <c r="U17" s="8"/>
    </row>
    <row r="23" spans="2:21">
      <c r="K23" s="5"/>
      <c r="L23" s="5"/>
      <c r="M23" s="5"/>
      <c r="N23" s="5"/>
      <c r="O23" s="5"/>
      <c r="P23" s="5"/>
    </row>
    <row r="25" spans="2:21">
      <c r="Q25" s="28"/>
    </row>
  </sheetData>
  <customSheetViews>
    <customSheetView guid="{BEC093EF-36E8-44C9-B149-04F53FD388A3}" showPageBreaks="1" fitToPage="1" printArea="1" topLeftCell="A4">
      <selection activeCell="B16" sqref="B16"/>
      <colBreaks count="2" manualBreakCount="2">
        <brk id="10" max="12" man="1"/>
        <brk id="19" max="12" man="1"/>
      </colBreaks>
      <pageMargins left="0.70866141732283472" right="0.3" top="0.74803149606299213" bottom="0.74803149606299213" header="0.31496062992125984" footer="0.31496062992125984"/>
      <pageSetup paperSize="9" scale="43" orientation="landscape" r:id="rId1"/>
    </customSheetView>
    <customSheetView guid="{96D40A43-B422-454D-9193-41896328F0D9}" showPageBreaks="1" topLeftCell="A4">
      <selection activeCell="U10" sqref="U10"/>
      <pageMargins left="0.70866141732283472" right="0.70866141732283472" top="0.74803149606299213" bottom="0.74803149606299213" header="0.31496062992125984" footer="0.31496062992125984"/>
      <pageSetup paperSize="9" scale="40" orientation="landscape" verticalDpi="0" r:id="rId2"/>
    </customSheetView>
    <customSheetView guid="{389735FE-414E-4CFC-9E6A-1AAFE3243A62}">
      <selection activeCell="D12" sqref="D12"/>
      <pageMargins left="0.7" right="0.7" top="0.75" bottom="0.75" header="0.3" footer="0.3"/>
      <pageSetup paperSize="9" orientation="portrait" verticalDpi="0" r:id="rId3"/>
    </customSheetView>
    <customSheetView guid="{A8ABFFD1-522C-4CFD-BCF6-18D62DEFABFD}" topLeftCell="A10">
      <selection activeCell="D12" sqref="D12"/>
      <pageMargins left="0.7" right="0.7" top="0.75" bottom="0.75" header="0.3" footer="0.3"/>
      <pageSetup paperSize="9" orientation="portrait" verticalDpi="0" r:id="rId4"/>
    </customSheetView>
    <customSheetView guid="{9527BC31-5AA4-4529-989B-DC3C25372E22}">
      <selection activeCell="E14" sqref="E14"/>
      <pageMargins left="0.2" right="0.28000000000000003" top="0.74803149606299213" bottom="0.74803149606299213" header="0.31496062992125984" footer="0.31496062992125984"/>
      <pageSetup paperSize="9" scale="45" orientation="landscape" verticalDpi="0" r:id="rId5"/>
    </customSheetView>
    <customSheetView guid="{7FBBF0F2-A261-44C7-B144-E52BBCB2C578}" showPageBreaks="1" hiddenColumns="1">
      <selection activeCell="S11" sqref="S11"/>
      <pageMargins left="0.11811023622047245" right="0.11811023622047245" top="0.74803149606299213" bottom="0.74803149606299213" header="0.31496062992125984" footer="0.31496062992125984"/>
      <pageSetup paperSize="9" scale="55" orientation="landscape" r:id="rId6"/>
    </customSheetView>
  </customSheetViews>
  <mergeCells count="27">
    <mergeCell ref="A2:S2"/>
    <mergeCell ref="K1:P1"/>
    <mergeCell ref="R1:S1"/>
    <mergeCell ref="A3:S3"/>
    <mergeCell ref="A4:S4"/>
    <mergeCell ref="P5:S5"/>
    <mergeCell ref="A6:A8"/>
    <mergeCell ref="B6:B8"/>
    <mergeCell ref="C6:C8"/>
    <mergeCell ref="D6:D8"/>
    <mergeCell ref="E6:E8"/>
    <mergeCell ref="F6:F8"/>
    <mergeCell ref="G6:G8"/>
    <mergeCell ref="R6:R8"/>
    <mergeCell ref="S6:S8"/>
    <mergeCell ref="I7:I8"/>
    <mergeCell ref="J7:J8"/>
    <mergeCell ref="K7:K8"/>
    <mergeCell ref="L7:L8"/>
    <mergeCell ref="M7:M8"/>
    <mergeCell ref="N7:N8"/>
    <mergeCell ref="B15:S15"/>
    <mergeCell ref="O7:O8"/>
    <mergeCell ref="P7:Q7"/>
    <mergeCell ref="A12:D12"/>
    <mergeCell ref="H6:H8"/>
    <mergeCell ref="I6:Q6"/>
  </mergeCells>
  <pageMargins left="0.70866141732283472" right="0.70866141732283472" top="0.74803149606299213" bottom="0.74803149606299213" header="0.31496062992125984" footer="0.31496062992125984"/>
  <pageSetup paperSize="9" scale="42" orientation="landscape"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X65"/>
  <sheetViews>
    <sheetView showZeros="0" topLeftCell="F16" zoomScale="95" zoomScaleNormal="90" workbookViewId="0">
      <selection activeCell="J34" sqref="J34"/>
    </sheetView>
  </sheetViews>
  <sheetFormatPr defaultRowHeight="12.75"/>
  <cols>
    <col min="1" max="1" width="5" style="43" customWidth="1"/>
    <col min="2" max="2" width="29.140625" style="44" customWidth="1"/>
    <col min="3" max="3" width="24.85546875" style="44" customWidth="1"/>
    <col min="4" max="4" width="17.42578125" style="44" customWidth="1"/>
    <col min="5" max="5" width="11.85546875" style="45" customWidth="1"/>
    <col min="6" max="6" width="11.140625" style="45" customWidth="1"/>
    <col min="7" max="7" width="12.85546875" style="45" customWidth="1"/>
    <col min="8" max="8" width="15.42578125" style="45" customWidth="1"/>
    <col min="9" max="9" width="12.85546875" style="45" customWidth="1"/>
    <col min="10" max="10" width="14.7109375" style="46" customWidth="1"/>
    <col min="11" max="11" width="11.28515625" style="46" customWidth="1"/>
    <col min="12" max="12" width="13" style="47" customWidth="1"/>
    <col min="13" max="13" width="10.5703125" style="47" customWidth="1"/>
    <col min="14" max="15" width="12.140625" style="47" customWidth="1"/>
    <col min="16" max="16" width="9.140625" style="47" customWidth="1"/>
    <col min="17" max="17" width="11.42578125" style="47" customWidth="1"/>
    <col min="18" max="19" width="12" style="47" customWidth="1"/>
    <col min="20" max="20" width="15.5703125" style="47" customWidth="1"/>
    <col min="21" max="21" width="14" style="47" customWidth="1"/>
    <col min="22" max="22" width="10.7109375" style="47" bestFit="1" customWidth="1"/>
    <col min="23" max="23" width="19.42578125" style="47" customWidth="1"/>
    <col min="24" max="24" width="12.42578125" style="47" customWidth="1"/>
    <col min="25" max="16384" width="9.140625" style="47"/>
  </cols>
  <sheetData>
    <row r="1" spans="1:24">
      <c r="R1" s="48"/>
      <c r="S1" s="48"/>
      <c r="T1" s="202" t="s">
        <v>17</v>
      </c>
      <c r="U1" s="202"/>
      <c r="V1" s="202"/>
      <c r="W1" s="48"/>
    </row>
    <row r="2" spans="1:24">
      <c r="R2" s="48"/>
      <c r="S2" s="48"/>
      <c r="T2" s="203" t="s">
        <v>16</v>
      </c>
      <c r="U2" s="203"/>
      <c r="V2" s="203"/>
      <c r="W2" s="48"/>
    </row>
    <row r="3" spans="1:24">
      <c r="L3" s="204"/>
      <c r="M3" s="204"/>
      <c r="N3" s="204"/>
      <c r="O3" s="204"/>
      <c r="P3" s="204"/>
      <c r="Q3" s="204"/>
      <c r="R3" s="204"/>
      <c r="S3" s="65"/>
      <c r="T3" s="202" t="s">
        <v>18</v>
      </c>
      <c r="U3" s="202"/>
      <c r="V3" s="202"/>
      <c r="W3" s="65"/>
    </row>
    <row r="4" spans="1:24">
      <c r="A4" s="201" t="s">
        <v>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</row>
    <row r="5" spans="1:24">
      <c r="A5" s="209" t="s">
        <v>15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</row>
    <row r="6" spans="1:24">
      <c r="A6" s="210" t="s">
        <v>77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4">
      <c r="R7" s="158" t="s">
        <v>39</v>
      </c>
      <c r="S7" s="158"/>
      <c r="T7" s="158"/>
      <c r="U7" s="159"/>
    </row>
    <row r="8" spans="1:24" ht="60.75" customHeight="1">
      <c r="A8" s="161" t="s">
        <v>1</v>
      </c>
      <c r="B8" s="161" t="s">
        <v>3</v>
      </c>
      <c r="C8" s="161" t="s">
        <v>4</v>
      </c>
      <c r="D8" s="218" t="s">
        <v>44</v>
      </c>
      <c r="E8" s="161" t="s">
        <v>5</v>
      </c>
      <c r="F8" s="211" t="s">
        <v>6</v>
      </c>
      <c r="G8" s="211" t="s">
        <v>38</v>
      </c>
      <c r="H8" s="212" t="s">
        <v>37</v>
      </c>
      <c r="I8" s="211" t="s">
        <v>7</v>
      </c>
      <c r="J8" s="253" t="s">
        <v>10</v>
      </c>
      <c r="K8" s="254"/>
      <c r="L8" s="254"/>
      <c r="M8" s="254"/>
      <c r="N8" s="254"/>
      <c r="O8" s="254"/>
      <c r="P8" s="254"/>
      <c r="Q8" s="254"/>
      <c r="R8" s="254"/>
      <c r="S8" s="255"/>
      <c r="T8" s="225" t="s">
        <v>31</v>
      </c>
      <c r="U8" s="161" t="s">
        <v>28</v>
      </c>
      <c r="V8" s="161"/>
      <c r="W8" s="244" t="s">
        <v>53</v>
      </c>
    </row>
    <row r="9" spans="1:24" ht="48" customHeight="1">
      <c r="A9" s="161"/>
      <c r="B9" s="161"/>
      <c r="C9" s="161"/>
      <c r="D9" s="219"/>
      <c r="E9" s="161"/>
      <c r="F9" s="211"/>
      <c r="G9" s="211"/>
      <c r="H9" s="213"/>
      <c r="I9" s="211"/>
      <c r="J9" s="257" t="s">
        <v>36</v>
      </c>
      <c r="K9" s="258" t="s">
        <v>40</v>
      </c>
      <c r="L9" s="215" t="s">
        <v>41</v>
      </c>
      <c r="M9" s="199" t="s">
        <v>42</v>
      </c>
      <c r="N9" s="215" t="s">
        <v>35</v>
      </c>
      <c r="O9" s="199" t="s">
        <v>58</v>
      </c>
      <c r="P9" s="199" t="s">
        <v>34</v>
      </c>
      <c r="Q9" s="215" t="s">
        <v>63</v>
      </c>
      <c r="R9" s="217" t="s">
        <v>9</v>
      </c>
      <c r="S9" s="217"/>
      <c r="T9" s="226"/>
      <c r="U9" s="161" t="s">
        <v>29</v>
      </c>
      <c r="V9" s="247" t="s">
        <v>30</v>
      </c>
      <c r="W9" s="245"/>
    </row>
    <row r="10" spans="1:24" ht="76.5" customHeight="1">
      <c r="A10" s="161"/>
      <c r="B10" s="161"/>
      <c r="C10" s="161"/>
      <c r="D10" s="220"/>
      <c r="E10" s="161"/>
      <c r="F10" s="211"/>
      <c r="G10" s="211"/>
      <c r="H10" s="214"/>
      <c r="I10" s="211"/>
      <c r="J10" s="216"/>
      <c r="K10" s="259"/>
      <c r="L10" s="216"/>
      <c r="M10" s="269"/>
      <c r="N10" s="216"/>
      <c r="O10" s="200"/>
      <c r="P10" s="269"/>
      <c r="Q10" s="216"/>
      <c r="R10" s="49" t="s">
        <v>32</v>
      </c>
      <c r="S10" s="50" t="s">
        <v>33</v>
      </c>
      <c r="T10" s="256"/>
      <c r="U10" s="161"/>
      <c r="V10" s="248"/>
      <c r="W10" s="246"/>
    </row>
    <row r="11" spans="1:24">
      <c r="A11" s="66">
        <v>1</v>
      </c>
      <c r="B11" s="52">
        <v>2</v>
      </c>
      <c r="C11" s="66">
        <v>3</v>
      </c>
      <c r="D11" s="52">
        <v>4</v>
      </c>
      <c r="E11" s="76">
        <v>5</v>
      </c>
      <c r="F11" s="52">
        <v>6</v>
      </c>
      <c r="G11" s="76">
        <v>7</v>
      </c>
      <c r="H11" s="52">
        <v>8</v>
      </c>
      <c r="I11" s="76">
        <v>9</v>
      </c>
      <c r="J11" s="52">
        <v>10</v>
      </c>
      <c r="K11" s="76">
        <v>11</v>
      </c>
      <c r="L11" s="52">
        <v>12</v>
      </c>
      <c r="M11" s="76">
        <v>13</v>
      </c>
      <c r="N11" s="52">
        <v>14</v>
      </c>
      <c r="O11" s="52"/>
      <c r="P11" s="76">
        <v>15</v>
      </c>
      <c r="Q11" s="52">
        <v>16</v>
      </c>
      <c r="R11" s="76">
        <v>17</v>
      </c>
      <c r="S11" s="52">
        <v>18</v>
      </c>
      <c r="T11" s="76">
        <v>19</v>
      </c>
      <c r="U11" s="52">
        <v>20</v>
      </c>
      <c r="V11" s="76">
        <v>21</v>
      </c>
      <c r="W11" s="52">
        <v>22</v>
      </c>
    </row>
    <row r="12" spans="1:24" s="56" customFormat="1" ht="23.25" customHeight="1">
      <c r="A12" s="233">
        <v>1</v>
      </c>
      <c r="B12" s="249" t="s">
        <v>56</v>
      </c>
      <c r="C12" s="233" t="s">
        <v>55</v>
      </c>
      <c r="D12" s="68" t="s">
        <v>49</v>
      </c>
      <c r="E12" s="235" t="s">
        <v>57</v>
      </c>
      <c r="F12" s="221">
        <v>2010</v>
      </c>
      <c r="G12" s="260">
        <f>'2011'!G14</f>
        <v>389546.9</v>
      </c>
      <c r="H12" s="263"/>
      <c r="I12" s="266">
        <f>'2011'!I14</f>
        <v>1</v>
      </c>
      <c r="J12" s="77">
        <f>'2011'!J14</f>
        <v>2230672.37</v>
      </c>
      <c r="K12" s="77">
        <f>'2011'!K14</f>
        <v>0</v>
      </c>
      <c r="L12" s="77">
        <f>'2011'!L14</f>
        <v>6584.5</v>
      </c>
      <c r="M12" s="77">
        <f>'2011'!M14</f>
        <v>0</v>
      </c>
      <c r="N12" s="77">
        <f>'2011'!N14</f>
        <v>0</v>
      </c>
      <c r="O12" s="77">
        <f>O13+O14+O15+O16+O17+O18</f>
        <v>11823.5</v>
      </c>
      <c r="P12" s="77">
        <f>'2011'!P14</f>
        <v>0</v>
      </c>
      <c r="Q12" s="77">
        <f>'2011'!Q14</f>
        <v>0</v>
      </c>
      <c r="R12" s="77">
        <f>R13+R14+R15+R16+R17+R18</f>
        <v>2212264.37</v>
      </c>
      <c r="S12" s="77">
        <f>'2011'!S14</f>
        <v>0</v>
      </c>
      <c r="T12" s="77">
        <f>T13+T14+T15+T16+T17+T18</f>
        <v>2201214.37</v>
      </c>
      <c r="U12" s="77">
        <f>U13+U14+U15+U16+U17+U18</f>
        <v>2170776.67</v>
      </c>
      <c r="V12" s="77">
        <f>U12/T12*100</f>
        <v>98.617231451201164</v>
      </c>
      <c r="W12" s="77">
        <f>W13+W14+W15+W16+W17+W18</f>
        <v>100</v>
      </c>
      <c r="X12" s="127"/>
    </row>
    <row r="13" spans="1:24" s="56" customFormat="1">
      <c r="A13" s="222"/>
      <c r="B13" s="250"/>
      <c r="C13" s="222"/>
      <c r="D13" s="55" t="s">
        <v>45</v>
      </c>
      <c r="E13" s="236"/>
      <c r="F13" s="238"/>
      <c r="G13" s="261"/>
      <c r="H13" s="264"/>
      <c r="I13" s="267"/>
      <c r="J13" s="78">
        <f t="shared" ref="J13:J18" si="0">K13+L13+M13+N13+O13+P13+Q13+R13+S13</f>
        <v>1904.3</v>
      </c>
      <c r="K13" s="78"/>
      <c r="L13" s="78"/>
      <c r="M13" s="78"/>
      <c r="N13" s="78"/>
      <c r="O13" s="78">
        <v>803.5</v>
      </c>
      <c r="P13" s="78"/>
      <c r="Q13" s="78"/>
      <c r="R13" s="78">
        <v>1100.8</v>
      </c>
      <c r="S13" s="78"/>
      <c r="T13" s="78">
        <v>803.5</v>
      </c>
      <c r="U13" s="78">
        <v>85</v>
      </c>
      <c r="V13" s="79">
        <f t="shared" ref="V13:V18" si="1">U13*100/T13</f>
        <v>10.578718108276291</v>
      </c>
      <c r="W13" s="86">
        <f t="shared" ref="W13:W18" si="2">J13*100/J$12</f>
        <v>8.5368879159963773E-2</v>
      </c>
    </row>
    <row r="14" spans="1:24" s="56" customFormat="1">
      <c r="A14" s="222"/>
      <c r="B14" s="250"/>
      <c r="C14" s="222"/>
      <c r="D14" s="55" t="s">
        <v>47</v>
      </c>
      <c r="E14" s="236"/>
      <c r="F14" s="238"/>
      <c r="G14" s="261"/>
      <c r="H14" s="264"/>
      <c r="I14" s="267"/>
      <c r="J14" s="78">
        <f t="shared" si="0"/>
        <v>223285</v>
      </c>
      <c r="K14" s="78"/>
      <c r="L14" s="78"/>
      <c r="M14" s="78"/>
      <c r="N14" s="78"/>
      <c r="O14" s="78"/>
      <c r="P14" s="78"/>
      <c r="Q14" s="78"/>
      <c r="R14" s="78">
        <v>223285</v>
      </c>
      <c r="S14" s="78"/>
      <c r="T14" s="80">
        <v>223285</v>
      </c>
      <c r="U14" s="78">
        <v>223285</v>
      </c>
      <c r="V14" s="79">
        <f t="shared" si="1"/>
        <v>100</v>
      </c>
      <c r="W14" s="86">
        <f t="shared" si="2"/>
        <v>10.00976221353385</v>
      </c>
    </row>
    <row r="15" spans="1:24" s="56" customFormat="1">
      <c r="A15" s="222"/>
      <c r="B15" s="250"/>
      <c r="C15" s="222"/>
      <c r="D15" s="55" t="s">
        <v>48</v>
      </c>
      <c r="E15" s="236"/>
      <c r="F15" s="238"/>
      <c r="G15" s="261"/>
      <c r="H15" s="264"/>
      <c r="I15" s="267"/>
      <c r="J15" s="78">
        <f t="shared" si="0"/>
        <v>1771855.37</v>
      </c>
      <c r="K15" s="78"/>
      <c r="L15" s="78"/>
      <c r="M15" s="78"/>
      <c r="N15" s="78"/>
      <c r="O15" s="78">
        <f>7087.2 +169+0.3+5.3</f>
        <v>7261.8</v>
      </c>
      <c r="P15" s="78"/>
      <c r="Q15" s="78"/>
      <c r="R15" s="78">
        <f>1684371.97+10593.1+1914.4+35240.1+1473+750+15800.7+1596+2079+10775.3</f>
        <v>1764593.57</v>
      </c>
      <c r="S15" s="78"/>
      <c r="T15" s="78">
        <f>1684371.97+10593.1+1914.4+35240.1+1473+750+15800.7+1596+2079+5.3+0.3</f>
        <v>1753823.87</v>
      </c>
      <c r="U15" s="78">
        <f>1914.4+1359+750+9035.9+2079+0.3+5.6+14008.7+10587.8+1684371.97</f>
        <v>1724112.67</v>
      </c>
      <c r="V15" s="79">
        <f t="shared" si="1"/>
        <v>98.305918826387042</v>
      </c>
      <c r="W15" s="86">
        <f t="shared" si="2"/>
        <v>79.431448285702302</v>
      </c>
    </row>
    <row r="16" spans="1:24" s="56" customFormat="1">
      <c r="A16" s="222"/>
      <c r="B16" s="250"/>
      <c r="C16" s="222"/>
      <c r="D16" s="55" t="s">
        <v>50</v>
      </c>
      <c r="E16" s="236"/>
      <c r="F16" s="238"/>
      <c r="G16" s="261"/>
      <c r="H16" s="264"/>
      <c r="I16" s="267"/>
      <c r="J16" s="78">
        <f t="shared" si="0"/>
        <v>10334.700000000001</v>
      </c>
      <c r="K16" s="78"/>
      <c r="L16" s="78">
        <f>6584.5</f>
        <v>6584.5</v>
      </c>
      <c r="M16" s="78"/>
      <c r="N16" s="78"/>
      <c r="O16" s="78">
        <f>1369.2+2372+9</f>
        <v>3750.2</v>
      </c>
      <c r="P16" s="78"/>
      <c r="Q16" s="78"/>
      <c r="R16" s="78"/>
      <c r="S16" s="78"/>
      <c r="T16" s="96">
        <v>9</v>
      </c>
      <c r="U16" s="78">
        <v>9</v>
      </c>
      <c r="V16" s="79">
        <f t="shared" si="1"/>
        <v>100</v>
      </c>
      <c r="W16" s="86">
        <f t="shared" si="2"/>
        <v>0.46329977180826426</v>
      </c>
    </row>
    <row r="17" spans="1:24" s="56" customFormat="1">
      <c r="A17" s="222"/>
      <c r="B17" s="250"/>
      <c r="C17" s="222"/>
      <c r="D17" s="55" t="s">
        <v>46</v>
      </c>
      <c r="E17" s="236"/>
      <c r="F17" s="238"/>
      <c r="G17" s="261"/>
      <c r="H17" s="264"/>
      <c r="I17" s="267"/>
      <c r="J17" s="78">
        <f t="shared" si="0"/>
        <v>8</v>
      </c>
      <c r="K17" s="78"/>
      <c r="L17" s="78"/>
      <c r="M17" s="78"/>
      <c r="N17" s="78"/>
      <c r="O17" s="78">
        <v>8</v>
      </c>
      <c r="P17" s="78"/>
      <c r="Q17" s="78"/>
      <c r="R17" s="78"/>
      <c r="S17" s="78"/>
      <c r="T17" s="78">
        <v>8</v>
      </c>
      <c r="U17" s="78"/>
      <c r="V17" s="79">
        <f t="shared" si="1"/>
        <v>0</v>
      </c>
      <c r="W17" s="86">
        <f t="shared" si="2"/>
        <v>3.586362617653259E-4</v>
      </c>
    </row>
    <row r="18" spans="1:24" s="56" customFormat="1">
      <c r="A18" s="252"/>
      <c r="B18" s="251"/>
      <c r="C18" s="252"/>
      <c r="D18" s="55" t="s">
        <v>51</v>
      </c>
      <c r="E18" s="237"/>
      <c r="F18" s="239"/>
      <c r="G18" s="262"/>
      <c r="H18" s="265"/>
      <c r="I18" s="268"/>
      <c r="J18" s="78">
        <f t="shared" si="0"/>
        <v>223285</v>
      </c>
      <c r="K18" s="78"/>
      <c r="L18" s="78"/>
      <c r="M18" s="78"/>
      <c r="N18" s="78"/>
      <c r="O18" s="90"/>
      <c r="P18" s="80"/>
      <c r="Q18" s="78"/>
      <c r="R18" s="78">
        <v>223285</v>
      </c>
      <c r="S18" s="78"/>
      <c r="T18" s="80">
        <v>223285</v>
      </c>
      <c r="U18" s="78">
        <v>223285</v>
      </c>
      <c r="V18" s="79">
        <f t="shared" si="1"/>
        <v>100</v>
      </c>
      <c r="W18" s="86">
        <f t="shared" si="2"/>
        <v>10.00976221353385</v>
      </c>
    </row>
    <row r="19" spans="1:24" s="59" customFormat="1" ht="20.100000000000001" customHeight="1">
      <c r="A19" s="233">
        <v>2</v>
      </c>
      <c r="B19" s="249" t="s">
        <v>59</v>
      </c>
      <c r="C19" s="270" t="s">
        <v>76</v>
      </c>
      <c r="D19" s="121" t="s">
        <v>49</v>
      </c>
      <c r="E19" s="233" t="s">
        <v>62</v>
      </c>
      <c r="F19" s="221">
        <v>2010</v>
      </c>
      <c r="G19" s="242">
        <f>'2011'!G15</f>
        <v>6530.9</v>
      </c>
      <c r="H19" s="205">
        <f>'2011'!H15</f>
        <v>10406.4</v>
      </c>
      <c r="I19" s="207">
        <f>'2011'!I15</f>
        <v>1</v>
      </c>
      <c r="J19" s="77">
        <f>'2011'!J15</f>
        <v>21230.600000000002</v>
      </c>
      <c r="K19" s="77">
        <f>'2011'!K15</f>
        <v>374.6</v>
      </c>
      <c r="L19" s="77">
        <f>'2011'!L15</f>
        <v>0</v>
      </c>
      <c r="M19" s="77">
        <f>'2011'!M15</f>
        <v>0</v>
      </c>
      <c r="N19" s="77">
        <f>'2011'!N15</f>
        <v>0</v>
      </c>
      <c r="O19" s="77">
        <f>'2011'!O15</f>
        <v>0</v>
      </c>
      <c r="P19" s="77">
        <f>'2011'!P15</f>
        <v>0</v>
      </c>
      <c r="Q19" s="77">
        <f>'2011'!Q15</f>
        <v>3251.1</v>
      </c>
      <c r="R19" s="77">
        <f>R20+R21+R22</f>
        <v>17604.900000000001</v>
      </c>
      <c r="S19" s="77">
        <f>S20+S21+S22</f>
        <v>4088.4</v>
      </c>
      <c r="T19" s="77">
        <f>T20+T21+T22</f>
        <v>14756.1</v>
      </c>
      <c r="U19" s="77">
        <v>13058</v>
      </c>
      <c r="V19" s="77">
        <f>'2011'!W15</f>
        <v>88.492216778145988</v>
      </c>
      <c r="W19" s="77">
        <f>W20+W21+W22</f>
        <v>99.999999999999972</v>
      </c>
      <c r="X19" s="127"/>
    </row>
    <row r="20" spans="1:24" ht="20.100000000000001" customHeight="1">
      <c r="A20" s="222"/>
      <c r="B20" s="250"/>
      <c r="C20" s="271"/>
      <c r="D20" s="122" t="s">
        <v>60</v>
      </c>
      <c r="E20" s="234"/>
      <c r="F20" s="238"/>
      <c r="G20" s="243"/>
      <c r="H20" s="206"/>
      <c r="I20" s="208"/>
      <c r="J20" s="78">
        <f>K20+L20+M20+N20+O20+P20+Q20+R20</f>
        <v>6797.6</v>
      </c>
      <c r="K20" s="78">
        <f>371.3+3.3</f>
        <v>374.6</v>
      </c>
      <c r="L20" s="78"/>
      <c r="M20" s="78"/>
      <c r="N20" s="78"/>
      <c r="O20" s="78"/>
      <c r="P20" s="78"/>
      <c r="Q20" s="78">
        <f>373.2+225.7</f>
        <v>598.9</v>
      </c>
      <c r="R20" s="78">
        <f>64.9+260+5.6+9.3+871.2+1276+182.4+371.3+68.7+2714.7</f>
        <v>5824.1</v>
      </c>
      <c r="S20" s="78">
        <f>9.3+871.2+1276</f>
        <v>2156.5</v>
      </c>
      <c r="T20" s="78">
        <v>3265.7</v>
      </c>
      <c r="U20" s="78">
        <v>3265.7</v>
      </c>
      <c r="V20" s="82">
        <f>U20*100/T20</f>
        <v>100</v>
      </c>
      <c r="W20" s="86">
        <f>J20*100/J19</f>
        <v>32.017936374855161</v>
      </c>
    </row>
    <row r="21" spans="1:24" ht="20.100000000000001" customHeight="1">
      <c r="A21" s="222"/>
      <c r="B21" s="250"/>
      <c r="C21" s="271"/>
      <c r="D21" s="122" t="s">
        <v>61</v>
      </c>
      <c r="E21" s="234"/>
      <c r="F21" s="238"/>
      <c r="G21" s="243"/>
      <c r="H21" s="206"/>
      <c r="I21" s="208"/>
      <c r="J21" s="78">
        <f>K21+L21+M21+N21+O21+P21+Q21+R21</f>
        <v>5892.6999999999989</v>
      </c>
      <c r="K21" s="78"/>
      <c r="L21" s="78"/>
      <c r="M21" s="78"/>
      <c r="N21" s="78"/>
      <c r="O21" s="78"/>
      <c r="P21" s="78"/>
      <c r="Q21" s="78">
        <f>2440.1+212.1</f>
        <v>2652.2</v>
      </c>
      <c r="R21" s="78">
        <f>1308.6+917.8+1014.1</f>
        <v>3240.4999999999995</v>
      </c>
      <c r="S21" s="78">
        <f>917.8+1014.1</f>
        <v>1931.9</v>
      </c>
      <c r="T21" s="78">
        <v>3960.8</v>
      </c>
      <c r="U21" s="78">
        <v>3960.8</v>
      </c>
      <c r="V21" s="82">
        <f>U21*100/T21</f>
        <v>100</v>
      </c>
      <c r="W21" s="86">
        <f>J21*100/J19</f>
        <v>27.755692255517971</v>
      </c>
    </row>
    <row r="22" spans="1:24" ht="20.100000000000001" customHeight="1">
      <c r="A22" s="222"/>
      <c r="B22" s="250"/>
      <c r="C22" s="271"/>
      <c r="D22" s="122" t="s">
        <v>78</v>
      </c>
      <c r="E22" s="234"/>
      <c r="F22" s="239"/>
      <c r="G22" s="243"/>
      <c r="H22" s="206"/>
      <c r="I22" s="208"/>
      <c r="J22" s="78">
        <f>K22+L22+M22+N22+O22+P22+Q22+R22</f>
        <v>8540.2999999999993</v>
      </c>
      <c r="K22" s="78"/>
      <c r="L22" s="78"/>
      <c r="M22" s="78"/>
      <c r="N22" s="78"/>
      <c r="O22" s="78"/>
      <c r="P22" s="78"/>
      <c r="Q22" s="78"/>
      <c r="R22" s="78">
        <f>1055.9+1962.3+5522.1</f>
        <v>8540.2999999999993</v>
      </c>
      <c r="S22" s="78"/>
      <c r="T22" s="78">
        <v>7529.6</v>
      </c>
      <c r="U22" s="78">
        <v>5831.5</v>
      </c>
      <c r="V22" s="82">
        <f>U22*100/T22</f>
        <v>77.447673183170423</v>
      </c>
      <c r="W22" s="87">
        <f>J22*100/ССМП</f>
        <v>40.226371369626847</v>
      </c>
    </row>
    <row r="23" spans="1:24" ht="25.5" customHeight="1">
      <c r="A23" s="233">
        <v>3</v>
      </c>
      <c r="B23" s="249" t="s">
        <v>69</v>
      </c>
      <c r="C23" s="218" t="s">
        <v>55</v>
      </c>
      <c r="D23" s="70" t="s">
        <v>49</v>
      </c>
      <c r="E23" s="225"/>
      <c r="F23" s="231" t="s">
        <v>114</v>
      </c>
      <c r="G23" s="227">
        <f>'2011'!G16</f>
        <v>46600</v>
      </c>
      <c r="H23" s="223"/>
      <c r="I23" s="229">
        <f>'2011'!I16</f>
        <v>1</v>
      </c>
      <c r="J23" s="77">
        <f>'2011'!J16</f>
        <v>46600</v>
      </c>
      <c r="K23" s="77">
        <f>'2011'!K16</f>
        <v>46600</v>
      </c>
      <c r="L23" s="77">
        <f>'2011'!L16</f>
        <v>0</v>
      </c>
      <c r="M23" s="77">
        <f>'2011'!M16</f>
        <v>0</v>
      </c>
      <c r="N23" s="77">
        <f>'2011'!N16</f>
        <v>0</v>
      </c>
      <c r="O23" s="77">
        <f>'2011'!O16</f>
        <v>0</v>
      </c>
      <c r="P23" s="77">
        <f>'2011'!P16</f>
        <v>0</v>
      </c>
      <c r="Q23" s="77">
        <f>'2011'!Q16</f>
        <v>0</v>
      </c>
      <c r="R23" s="77">
        <f>'2011'!R16</f>
        <v>0</v>
      </c>
      <c r="S23" s="77">
        <f>'2011'!S16</f>
        <v>0</v>
      </c>
      <c r="T23" s="77">
        <f>'2011'!T16</f>
        <v>0</v>
      </c>
      <c r="U23" s="77">
        <f>'2011'!U16</f>
        <v>0</v>
      </c>
      <c r="V23" s="77">
        <f>'2011'!W16</f>
        <v>0</v>
      </c>
      <c r="W23" s="77">
        <f>W24+W25</f>
        <v>100</v>
      </c>
    </row>
    <row r="24" spans="1:24" ht="30" customHeight="1">
      <c r="A24" s="222"/>
      <c r="B24" s="250"/>
      <c r="C24" s="219"/>
      <c r="D24" s="55" t="s">
        <v>45</v>
      </c>
      <c r="E24" s="226"/>
      <c r="F24" s="232"/>
      <c r="G24" s="228"/>
      <c r="H24" s="224"/>
      <c r="I24" s="230"/>
      <c r="J24" s="78">
        <f>SUM(K24:R24)</f>
        <v>23300</v>
      </c>
      <c r="K24" s="78">
        <v>23300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9"/>
      <c r="W24" s="86">
        <f>J24*100/J23</f>
        <v>50</v>
      </c>
    </row>
    <row r="25" spans="1:24" ht="33.75" customHeight="1">
      <c r="A25" s="252"/>
      <c r="B25" s="251"/>
      <c r="C25" s="220"/>
      <c r="D25" s="55" t="s">
        <v>47</v>
      </c>
      <c r="E25" s="226"/>
      <c r="F25" s="232"/>
      <c r="G25" s="228"/>
      <c r="H25" s="224"/>
      <c r="I25" s="230"/>
      <c r="J25" s="78">
        <f>SUM(K25:R25)</f>
        <v>23300</v>
      </c>
      <c r="K25" s="78">
        <v>23300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  <c r="W25" s="86">
        <f>J25*100/J23</f>
        <v>50</v>
      </c>
    </row>
    <row r="26" spans="1:24" ht="21.95" customHeight="1">
      <c r="A26" s="233">
        <v>4</v>
      </c>
      <c r="B26" s="249" t="str">
        <f>'2011'!C17</f>
        <v>Проверка соблюдения порядка передачи в аренду и отчуждения земельного участка с кадастровым номером 28:01:080001:0094</v>
      </c>
      <c r="C26" s="218" t="s">
        <v>55</v>
      </c>
      <c r="D26" s="70" t="s">
        <v>49</v>
      </c>
      <c r="E26" s="221"/>
      <c r="F26" s="221" t="s">
        <v>115</v>
      </c>
      <c r="G26" s="223"/>
      <c r="H26" s="240"/>
      <c r="I26" s="233">
        <f>'2011'!I17</f>
        <v>1</v>
      </c>
      <c r="J26" s="77">
        <f>'2011'!J17</f>
        <v>15298.5</v>
      </c>
      <c r="K26" s="77">
        <f>'2011'!K17</f>
        <v>0</v>
      </c>
      <c r="L26" s="77">
        <f>'2011'!L17</f>
        <v>0</v>
      </c>
      <c r="M26" s="77">
        <f>'2011'!M17</f>
        <v>0</v>
      </c>
      <c r="N26" s="77">
        <f>'2011'!N17</f>
        <v>0</v>
      </c>
      <c r="O26" s="77">
        <f>'2011'!O17</f>
        <v>15298.5</v>
      </c>
      <c r="P26" s="77">
        <f>'2011'!P17</f>
        <v>0</v>
      </c>
      <c r="Q26" s="77">
        <f>'2011'!Q17</f>
        <v>0</v>
      </c>
      <c r="R26" s="77">
        <f>'2011'!R17</f>
        <v>0</v>
      </c>
      <c r="S26" s="77">
        <f>'2011'!S17</f>
        <v>0</v>
      </c>
      <c r="T26" s="77">
        <f>'2011'!T17</f>
        <v>0</v>
      </c>
      <c r="U26" s="77">
        <f>'2011'!U17</f>
        <v>0</v>
      </c>
      <c r="V26" s="79" t="e">
        <f t="shared" ref="V26:V39" si="3">U26*100/T26</f>
        <v>#DIV/0!</v>
      </c>
      <c r="W26" s="77">
        <f>W27+W28</f>
        <v>100</v>
      </c>
    </row>
    <row r="27" spans="1:24" ht="21.95" customHeight="1">
      <c r="A27" s="222"/>
      <c r="B27" s="250"/>
      <c r="C27" s="219"/>
      <c r="D27" s="55" t="s">
        <v>47</v>
      </c>
      <c r="E27" s="222"/>
      <c r="F27" s="222"/>
      <c r="G27" s="224"/>
      <c r="H27" s="241"/>
      <c r="I27" s="222"/>
      <c r="J27" s="78">
        <f>SUM(K27:R27)</f>
        <v>7649.25</v>
      </c>
      <c r="K27" s="78"/>
      <c r="L27" s="78"/>
      <c r="M27" s="78"/>
      <c r="N27" s="78"/>
      <c r="O27" s="78"/>
      <c r="P27" s="78"/>
      <c r="Q27" s="78"/>
      <c r="R27" s="78">
        <v>7649.25</v>
      </c>
      <c r="S27" s="78"/>
      <c r="T27" s="78"/>
      <c r="U27" s="78"/>
      <c r="V27" s="79" t="e">
        <f t="shared" si="3"/>
        <v>#DIV/0!</v>
      </c>
      <c r="W27" s="86">
        <f>J27*100/J26</f>
        <v>50</v>
      </c>
    </row>
    <row r="28" spans="1:24" ht="21.95" customHeight="1">
      <c r="A28" s="222"/>
      <c r="B28" s="250"/>
      <c r="C28" s="219"/>
      <c r="D28" s="55" t="s">
        <v>51</v>
      </c>
      <c r="E28" s="222"/>
      <c r="F28" s="222"/>
      <c r="G28" s="224"/>
      <c r="H28" s="241"/>
      <c r="I28" s="222"/>
      <c r="J28" s="78">
        <f>SUM(K28:R28)</f>
        <v>7649.25</v>
      </c>
      <c r="K28" s="78"/>
      <c r="L28" s="78"/>
      <c r="M28" s="78"/>
      <c r="N28" s="78"/>
      <c r="O28" s="78"/>
      <c r="P28" s="78"/>
      <c r="Q28" s="78"/>
      <c r="R28" s="78">
        <v>7649.25</v>
      </c>
      <c r="S28" s="78"/>
      <c r="T28" s="78"/>
      <c r="U28" s="78"/>
      <c r="V28" s="79" t="e">
        <f t="shared" si="3"/>
        <v>#DIV/0!</v>
      </c>
      <c r="W28" s="86">
        <f>J28*100/J26</f>
        <v>50</v>
      </c>
    </row>
    <row r="29" spans="1:24" ht="15" customHeight="1">
      <c r="A29" s="218">
        <v>5</v>
      </c>
      <c r="B29" s="249" t="s">
        <v>59</v>
      </c>
      <c r="C29" s="218" t="s">
        <v>99</v>
      </c>
      <c r="D29" s="88" t="s">
        <v>49</v>
      </c>
      <c r="E29" s="218" t="s">
        <v>100</v>
      </c>
      <c r="F29" s="218">
        <v>2010</v>
      </c>
      <c r="G29" s="240"/>
      <c r="H29" s="240"/>
      <c r="I29" s="207">
        <v>1</v>
      </c>
      <c r="J29" s="77">
        <f>SUM(K29:R29)</f>
        <v>1609149.3</v>
      </c>
      <c r="K29" s="77"/>
      <c r="L29" s="77">
        <f>677.9+440+291.7+3.3+376.9+82.5+292.6+311.5</f>
        <v>2476.4</v>
      </c>
      <c r="M29" s="77"/>
      <c r="N29" s="77"/>
      <c r="O29" s="77"/>
      <c r="P29" s="77">
        <v>13351.3</v>
      </c>
      <c r="Q29" s="77">
        <f>3549+275.1+1011.8+898.5+323.6+81.1+47+31.9+22.8</f>
        <v>6240.8</v>
      </c>
      <c r="R29" s="77">
        <f>1381675+96.2+351.8+9.6+1+4.4+11+476.6+11.8+2.7+13.7+183434+20993</f>
        <v>1587080.8</v>
      </c>
      <c r="S29" s="77">
        <f>1381675+96.2+351.8+9.6+1+4.4+11+476.6+11.8+2.7+13.7+183434+20993</f>
        <v>1587080.8</v>
      </c>
      <c r="T29" s="77">
        <f>3549+379526+339045.1+243589.4+275.1+1011.9+440+291.7+323.6+81.1+3.3+47+82.5+13351.3+96.2+351.8+11+22.8+13.7</f>
        <v>982112.5</v>
      </c>
      <c r="U29" s="77">
        <f>379526+339045.1+243589.4+275.1+3.3+82.5+47+13351.3+96.2+351.8+11+22.8+13.7</f>
        <v>976415.20000000007</v>
      </c>
      <c r="V29" s="124">
        <f t="shared" si="3"/>
        <v>99.419893342157849</v>
      </c>
      <c r="W29" s="77">
        <f>W30+W31+W32</f>
        <v>100</v>
      </c>
    </row>
    <row r="30" spans="1:24" ht="15" customHeight="1">
      <c r="A30" s="219"/>
      <c r="B30" s="250"/>
      <c r="C30" s="219"/>
      <c r="D30" s="57" t="s">
        <v>50</v>
      </c>
      <c r="E30" s="219"/>
      <c r="F30" s="219"/>
      <c r="G30" s="241"/>
      <c r="H30" s="241"/>
      <c r="I30" s="208"/>
      <c r="J30" s="78">
        <f t="shared" ref="J30:J39" si="4">SUM(K30:R30)</f>
        <v>205428.59999999998</v>
      </c>
      <c r="K30" s="78"/>
      <c r="L30" s="78"/>
      <c r="M30" s="78"/>
      <c r="N30" s="78"/>
      <c r="O30" s="78"/>
      <c r="P30" s="78"/>
      <c r="Q30" s="78">
        <f>22.8</f>
        <v>22.8</v>
      </c>
      <c r="R30" s="78">
        <f>96.2+351.8+9.6+1+4.4+11+476.6+11.8+2.7+13.7+183434+20993</f>
        <v>205405.8</v>
      </c>
      <c r="S30" s="78">
        <f>96.2+351.8+9.6+1+4.4+11+476.6+11.8+2.7+13.7+183434+20993</f>
        <v>205405.8</v>
      </c>
      <c r="T30" s="78">
        <f>96.2+351.8+11+22.8+13.7</f>
        <v>495.5</v>
      </c>
      <c r="U30" s="78">
        <f>96.2+351.8+11+22.8+13.7</f>
        <v>495.5</v>
      </c>
      <c r="V30" s="79">
        <f t="shared" si="3"/>
        <v>100</v>
      </c>
      <c r="W30" s="86">
        <f>J30*100/J$29</f>
        <v>12.766285887829051</v>
      </c>
    </row>
    <row r="31" spans="1:24" ht="15" customHeight="1">
      <c r="A31" s="219"/>
      <c r="B31" s="250"/>
      <c r="C31" s="219"/>
      <c r="D31" s="57" t="s">
        <v>45</v>
      </c>
      <c r="E31" s="219"/>
      <c r="F31" s="219"/>
      <c r="G31" s="241"/>
      <c r="H31" s="241"/>
      <c r="I31" s="208"/>
      <c r="J31" s="78">
        <f t="shared" si="4"/>
        <v>1388087.3</v>
      </c>
      <c r="K31" s="78"/>
      <c r="L31" s="78">
        <f>677.9</f>
        <v>677.9</v>
      </c>
      <c r="M31" s="78"/>
      <c r="N31" s="78"/>
      <c r="O31" s="78"/>
      <c r="P31" s="78"/>
      <c r="Q31" s="78">
        <f>3549+275.1+1011.8+898.5</f>
        <v>5734.4</v>
      </c>
      <c r="R31" s="78">
        <f>1381675</f>
        <v>1381675</v>
      </c>
      <c r="S31" s="78">
        <f>1381675</f>
        <v>1381675</v>
      </c>
      <c r="T31" s="78">
        <f>3549+379526+339045.1+243589.4+275.1+1011.9</f>
        <v>966996.5</v>
      </c>
      <c r="U31" s="78">
        <f>379526+339045.1+243589.4+275.1</f>
        <v>962435.6</v>
      </c>
      <c r="V31" s="79">
        <f t="shared" si="3"/>
        <v>99.528343691006114</v>
      </c>
      <c r="W31" s="86">
        <f>J31*100/J$29</f>
        <v>86.262182135616627</v>
      </c>
    </row>
    <row r="32" spans="1:24" ht="15" customHeight="1">
      <c r="A32" s="220"/>
      <c r="B32" s="251"/>
      <c r="C32" s="220"/>
      <c r="D32" s="57" t="s">
        <v>78</v>
      </c>
      <c r="E32" s="220"/>
      <c r="F32" s="220"/>
      <c r="G32" s="285"/>
      <c r="H32" s="285"/>
      <c r="I32" s="283"/>
      <c r="J32" s="78">
        <f t="shared" si="4"/>
        <v>15633.4</v>
      </c>
      <c r="K32" s="78"/>
      <c r="L32" s="78">
        <f>82.5+292.6+440+291.7+3.3+376.9+311.5</f>
        <v>1798.5</v>
      </c>
      <c r="M32" s="78"/>
      <c r="N32" s="78"/>
      <c r="O32" s="78"/>
      <c r="P32" s="78">
        <v>13351.3</v>
      </c>
      <c r="Q32" s="78">
        <f>47+31.9+323.6+81.1</f>
        <v>483.6</v>
      </c>
      <c r="R32" s="78"/>
      <c r="S32" s="78"/>
      <c r="T32" s="78">
        <f>440+291.7+323.6+81.1+3.3+47+82.5+13351.3</f>
        <v>14620.5</v>
      </c>
      <c r="U32" s="78">
        <f>3.3+82.5+47+13351.3</f>
        <v>13484.099999999999</v>
      </c>
      <c r="V32" s="79">
        <f t="shared" si="3"/>
        <v>92.227352005745345</v>
      </c>
      <c r="W32" s="86">
        <f>J32*100/J$29</f>
        <v>0.97153197655431967</v>
      </c>
    </row>
    <row r="33" spans="1:23" ht="20.100000000000001" customHeight="1">
      <c r="A33" s="218">
        <v>6</v>
      </c>
      <c r="B33" s="249" t="s">
        <v>112</v>
      </c>
      <c r="C33" s="43"/>
      <c r="D33" s="88" t="s">
        <v>49</v>
      </c>
      <c r="E33" s="218" t="s">
        <v>100</v>
      </c>
      <c r="F33" s="218">
        <v>2010</v>
      </c>
      <c r="G33" s="223"/>
      <c r="H33" s="223"/>
      <c r="I33" s="130">
        <v>1</v>
      </c>
      <c r="J33" s="83">
        <f>'2011'!J19</f>
        <v>147436.9</v>
      </c>
      <c r="K33" s="83">
        <f>K34+K35+K36+K37+K38+K39+K40</f>
        <v>102.4</v>
      </c>
      <c r="L33" s="83">
        <f t="shared" ref="L33:W33" si="5">L34+L35+L36+L37+L38+L39+L40</f>
        <v>1955.2</v>
      </c>
      <c r="M33" s="83">
        <f t="shared" si="5"/>
        <v>0</v>
      </c>
      <c r="N33" s="83">
        <f t="shared" si="5"/>
        <v>65.900000000000006</v>
      </c>
      <c r="O33" s="83">
        <f t="shared" si="5"/>
        <v>396.5</v>
      </c>
      <c r="P33" s="83">
        <f t="shared" si="5"/>
        <v>28.4</v>
      </c>
      <c r="Q33" s="83">
        <f t="shared" si="5"/>
        <v>1912</v>
      </c>
      <c r="R33" s="83">
        <f t="shared" si="5"/>
        <v>142976.5</v>
      </c>
      <c r="S33" s="83">
        <f t="shared" si="5"/>
        <v>122.3</v>
      </c>
      <c r="T33" s="83">
        <f t="shared" si="5"/>
        <v>34235</v>
      </c>
      <c r="U33" s="83">
        <f t="shared" si="5"/>
        <v>34150.400000000001</v>
      </c>
      <c r="V33" s="79">
        <f>U33*100/T33</f>
        <v>99.752884474952538</v>
      </c>
      <c r="W33" s="83">
        <f t="shared" si="5"/>
        <v>100</v>
      </c>
    </row>
    <row r="34" spans="1:23" ht="20.100000000000001" customHeight="1">
      <c r="A34" s="219"/>
      <c r="B34" s="250"/>
      <c r="C34" s="218" t="s">
        <v>118</v>
      </c>
      <c r="D34" s="71" t="s">
        <v>61</v>
      </c>
      <c r="E34" s="219"/>
      <c r="F34" s="219"/>
      <c r="G34" s="224"/>
      <c r="H34" s="224"/>
      <c r="I34" s="128"/>
      <c r="J34" s="78">
        <f t="shared" si="4"/>
        <v>54819.600000000006</v>
      </c>
      <c r="K34" s="78"/>
      <c r="L34" s="78"/>
      <c r="M34" s="78"/>
      <c r="N34" s="78"/>
      <c r="O34" s="78"/>
      <c r="P34" s="78"/>
      <c r="Q34" s="78">
        <v>1667.3</v>
      </c>
      <c r="R34" s="78">
        <v>53152.3</v>
      </c>
      <c r="S34" s="78"/>
      <c r="T34" s="78">
        <v>1667.3</v>
      </c>
      <c r="U34" s="78">
        <v>1667.3</v>
      </c>
      <c r="V34" s="79">
        <f t="shared" si="3"/>
        <v>100</v>
      </c>
      <c r="W34" s="129">
        <f t="shared" ref="W34:W40" si="6">J34*100/J$33</f>
        <v>37.181736729407639</v>
      </c>
    </row>
    <row r="35" spans="1:23" ht="20.100000000000001" customHeight="1">
      <c r="A35" s="219"/>
      <c r="B35" s="250"/>
      <c r="C35" s="220"/>
      <c r="D35" s="71" t="s">
        <v>48</v>
      </c>
      <c r="E35" s="219"/>
      <c r="F35" s="219"/>
      <c r="G35" s="224"/>
      <c r="H35" s="224"/>
      <c r="I35" s="128"/>
      <c r="J35" s="78">
        <f t="shared" si="4"/>
        <v>53227.700000000004</v>
      </c>
      <c r="K35" s="78">
        <v>75.400000000000006</v>
      </c>
      <c r="L35" s="78"/>
      <c r="M35" s="78"/>
      <c r="N35" s="78"/>
      <c r="O35" s="78"/>
      <c r="P35" s="78"/>
      <c r="Q35" s="78"/>
      <c r="R35" s="78">
        <v>53152.3</v>
      </c>
      <c r="S35" s="78"/>
      <c r="T35" s="78">
        <v>75.400000000000006</v>
      </c>
      <c r="U35" s="78">
        <v>75.400000000000006</v>
      </c>
      <c r="V35" s="79">
        <f t="shared" si="3"/>
        <v>100</v>
      </c>
      <c r="W35" s="129">
        <f t="shared" si="6"/>
        <v>36.102020593216487</v>
      </c>
    </row>
    <row r="36" spans="1:23" ht="20.100000000000001" customHeight="1">
      <c r="A36" s="219"/>
      <c r="B36" s="250"/>
      <c r="C36" s="136" t="s">
        <v>119</v>
      </c>
      <c r="D36" s="71" t="s">
        <v>61</v>
      </c>
      <c r="E36" s="219"/>
      <c r="F36" s="219"/>
      <c r="G36" s="224"/>
      <c r="H36" s="224"/>
      <c r="I36" s="136"/>
      <c r="J36" s="78">
        <f t="shared" si="4"/>
        <v>2863.6</v>
      </c>
      <c r="K36" s="78"/>
      <c r="L36" s="78"/>
      <c r="M36" s="78"/>
      <c r="N36" s="78"/>
      <c r="O36" s="78"/>
      <c r="P36" s="78"/>
      <c r="Q36" s="78">
        <v>78.099999999999994</v>
      </c>
      <c r="R36" s="78">
        <v>2785.5</v>
      </c>
      <c r="S36" s="78"/>
      <c r="T36" s="78">
        <v>78.099999999999994</v>
      </c>
      <c r="U36" s="78">
        <v>78.099999999999994</v>
      </c>
      <c r="V36" s="79">
        <f t="shared" si="3"/>
        <v>100</v>
      </c>
      <c r="W36" s="129">
        <f t="shared" si="6"/>
        <v>1.9422546187555492</v>
      </c>
    </row>
    <row r="37" spans="1:23" ht="20.100000000000001" customHeight="1">
      <c r="A37" s="219"/>
      <c r="B37" s="250"/>
      <c r="C37" s="136" t="s">
        <v>120</v>
      </c>
      <c r="D37" s="71" t="s">
        <v>48</v>
      </c>
      <c r="E37" s="219"/>
      <c r="F37" s="219"/>
      <c r="G37" s="224"/>
      <c r="H37" s="224"/>
      <c r="I37" s="136"/>
      <c r="J37" s="78">
        <f t="shared" si="4"/>
        <v>3233.9</v>
      </c>
      <c r="K37" s="78"/>
      <c r="L37" s="78"/>
      <c r="M37" s="78"/>
      <c r="N37" s="78"/>
      <c r="O37" s="78">
        <v>70</v>
      </c>
      <c r="P37" s="78"/>
      <c r="Q37" s="78"/>
      <c r="R37" s="78">
        <v>3163.9</v>
      </c>
      <c r="S37" s="78">
        <v>107.3</v>
      </c>
      <c r="T37" s="78">
        <v>1947.1</v>
      </c>
      <c r="U37" s="78">
        <v>1877.3</v>
      </c>
      <c r="V37" s="79">
        <f t="shared" si="3"/>
        <v>96.415181552051777</v>
      </c>
      <c r="W37" s="129">
        <f t="shared" si="6"/>
        <v>2.1934129108791627</v>
      </c>
    </row>
    <row r="38" spans="1:23" ht="20.100000000000001" customHeight="1">
      <c r="A38" s="219"/>
      <c r="B38" s="250"/>
      <c r="C38" s="218" t="s">
        <v>103</v>
      </c>
      <c r="D38" s="71" t="s">
        <v>60</v>
      </c>
      <c r="E38" s="219"/>
      <c r="F38" s="219"/>
      <c r="G38" s="224"/>
      <c r="H38" s="224"/>
      <c r="I38" s="128"/>
      <c r="J38" s="78">
        <f>SUM(K38:R38)</f>
        <v>27821.1</v>
      </c>
      <c r="K38" s="78"/>
      <c r="L38" s="78">
        <v>44.4</v>
      </c>
      <c r="M38" s="78"/>
      <c r="N38" s="78"/>
      <c r="O38" s="78">
        <v>16.2</v>
      </c>
      <c r="P38" s="78"/>
      <c r="Q38" s="78">
        <v>150.19999999999999</v>
      </c>
      <c r="R38" s="78">
        <v>27610.3</v>
      </c>
      <c r="S38" s="78"/>
      <c r="T38" s="78">
        <f>27660.5-7.5</f>
        <v>27653</v>
      </c>
      <c r="U38" s="78">
        <f>27660.5-7.5</f>
        <v>27653</v>
      </c>
      <c r="V38" s="79">
        <f t="shared" si="3"/>
        <v>100</v>
      </c>
      <c r="W38" s="129">
        <f t="shared" si="6"/>
        <v>18.869835163381758</v>
      </c>
    </row>
    <row r="39" spans="1:23" ht="20.100000000000001" customHeight="1">
      <c r="A39" s="219"/>
      <c r="B39" s="250"/>
      <c r="C39" s="220"/>
      <c r="D39" s="71" t="s">
        <v>45</v>
      </c>
      <c r="E39" s="219"/>
      <c r="F39" s="219"/>
      <c r="G39" s="224"/>
      <c r="H39" s="224"/>
      <c r="I39" s="128"/>
      <c r="J39" s="78">
        <f t="shared" si="4"/>
        <v>7.5</v>
      </c>
      <c r="K39" s="78"/>
      <c r="L39" s="78"/>
      <c r="M39" s="78"/>
      <c r="N39" s="78"/>
      <c r="O39" s="78"/>
      <c r="P39" s="78">
        <v>7.5</v>
      </c>
      <c r="Q39" s="78"/>
      <c r="R39" s="78"/>
      <c r="S39" s="78"/>
      <c r="T39" s="78">
        <v>7.5</v>
      </c>
      <c r="U39" s="78">
        <v>7.5</v>
      </c>
      <c r="V39" s="79">
        <f t="shared" si="3"/>
        <v>100</v>
      </c>
      <c r="W39" s="129">
        <f t="shared" si="6"/>
        <v>5.0869219306700023E-3</v>
      </c>
    </row>
    <row r="40" spans="1:23" ht="20.100000000000001" customHeight="1">
      <c r="A40" s="220"/>
      <c r="B40" s="251"/>
      <c r="C40" s="120" t="s">
        <v>104</v>
      </c>
      <c r="D40" s="71" t="s">
        <v>47</v>
      </c>
      <c r="E40" s="220"/>
      <c r="F40" s="220"/>
      <c r="G40" s="284"/>
      <c r="H40" s="284"/>
      <c r="I40" s="131"/>
      <c r="J40" s="78">
        <f>SUM(K40:R40)</f>
        <v>5463.5</v>
      </c>
      <c r="K40" s="78">
        <v>27</v>
      </c>
      <c r="L40" s="78">
        <v>1910.8</v>
      </c>
      <c r="M40" s="78"/>
      <c r="N40" s="78">
        <v>65.900000000000006</v>
      </c>
      <c r="O40" s="78">
        <v>310.3</v>
      </c>
      <c r="P40" s="78">
        <v>20.9</v>
      </c>
      <c r="Q40" s="78">
        <v>16.399999999999999</v>
      </c>
      <c r="R40" s="78">
        <v>3112.2</v>
      </c>
      <c r="S40" s="78">
        <v>15</v>
      </c>
      <c r="T40" s="78">
        <v>2806.6</v>
      </c>
      <c r="U40" s="78">
        <v>2791.8</v>
      </c>
      <c r="V40" s="79">
        <f>U40*100/T40</f>
        <v>99.472671559894536</v>
      </c>
      <c r="W40" s="129">
        <f t="shared" si="6"/>
        <v>3.7056530624287407</v>
      </c>
    </row>
    <row r="41" spans="1:23" ht="60" customHeight="1">
      <c r="A41" s="218">
        <v>7</v>
      </c>
      <c r="B41" s="281" t="s">
        <v>109</v>
      </c>
      <c r="C41" s="218" t="s">
        <v>108</v>
      </c>
      <c r="D41" s="68" t="s">
        <v>49</v>
      </c>
      <c r="E41" s="218"/>
      <c r="F41" s="218"/>
      <c r="G41" s="223"/>
      <c r="H41" s="223"/>
      <c r="I41" s="218">
        <v>1</v>
      </c>
      <c r="J41" s="77">
        <f>'2011'!J20</f>
        <v>82.7</v>
      </c>
      <c r="K41" s="77"/>
      <c r="L41" s="77"/>
      <c r="M41" s="77"/>
      <c r="N41" s="77"/>
      <c r="O41" s="77"/>
      <c r="P41" s="77"/>
      <c r="Q41" s="77"/>
      <c r="R41" s="77">
        <v>82.7</v>
      </c>
      <c r="S41" s="77"/>
      <c r="T41" s="77"/>
      <c r="U41" s="77"/>
      <c r="V41" s="81"/>
      <c r="W41" s="77">
        <f>W42</f>
        <v>100</v>
      </c>
    </row>
    <row r="42" spans="1:23" ht="60" customHeight="1">
      <c r="A42" s="219"/>
      <c r="B42" s="282"/>
      <c r="C42" s="219"/>
      <c r="D42" s="55" t="s">
        <v>51</v>
      </c>
      <c r="E42" s="219"/>
      <c r="F42" s="219"/>
      <c r="G42" s="224"/>
      <c r="H42" s="224"/>
      <c r="I42" s="219"/>
      <c r="J42" s="78">
        <v>82.7</v>
      </c>
      <c r="K42" s="78"/>
      <c r="L42" s="78"/>
      <c r="M42" s="78"/>
      <c r="N42" s="78"/>
      <c r="O42" s="78"/>
      <c r="P42" s="78"/>
      <c r="Q42" s="78"/>
      <c r="R42" s="78">
        <v>82.7</v>
      </c>
      <c r="S42" s="78"/>
      <c r="T42" s="78"/>
      <c r="U42" s="78"/>
      <c r="V42" s="82"/>
      <c r="W42" s="86">
        <f>J42*100/J$41</f>
        <v>100</v>
      </c>
    </row>
    <row r="43" spans="1:23" s="61" customFormat="1" ht="27.75" customHeight="1">
      <c r="A43" s="272">
        <v>8</v>
      </c>
      <c r="B43" s="249" t="s">
        <v>105</v>
      </c>
      <c r="C43" s="218" t="s">
        <v>106</v>
      </c>
      <c r="D43" s="88" t="s">
        <v>49</v>
      </c>
      <c r="E43" s="275" t="s">
        <v>107</v>
      </c>
      <c r="F43" s="275">
        <v>2010</v>
      </c>
      <c r="G43" s="278"/>
      <c r="H43" s="278"/>
      <c r="I43" s="275">
        <v>1</v>
      </c>
      <c r="J43" s="77">
        <f>'2011'!J21</f>
        <v>416493.7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82"/>
      <c r="W43" s="77">
        <f>W44+W45+W46</f>
        <v>0</v>
      </c>
    </row>
    <row r="44" spans="1:23" s="61" customFormat="1">
      <c r="A44" s="273"/>
      <c r="B44" s="250"/>
      <c r="C44" s="219"/>
      <c r="D44" s="57" t="s">
        <v>47</v>
      </c>
      <c r="E44" s="276"/>
      <c r="F44" s="276"/>
      <c r="G44" s="279"/>
      <c r="H44" s="279"/>
      <c r="I44" s="276"/>
      <c r="J44" s="78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82"/>
      <c r="W44" s="86">
        <f>J44*100/J43</f>
        <v>0</v>
      </c>
    </row>
    <row r="45" spans="1:23" s="61" customFormat="1">
      <c r="A45" s="273"/>
      <c r="B45" s="250"/>
      <c r="C45" s="219"/>
      <c r="D45" s="55" t="s">
        <v>61</v>
      </c>
      <c r="E45" s="276"/>
      <c r="F45" s="276"/>
      <c r="G45" s="279"/>
      <c r="H45" s="279"/>
      <c r="I45" s="276"/>
      <c r="J45" s="78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82"/>
      <c r="W45" s="86">
        <f>J45*100/J43</f>
        <v>0</v>
      </c>
    </row>
    <row r="46" spans="1:23" s="61" customFormat="1">
      <c r="A46" s="274"/>
      <c r="B46" s="251"/>
      <c r="C46" s="220"/>
      <c r="D46" s="57" t="s">
        <v>50</v>
      </c>
      <c r="E46" s="277"/>
      <c r="F46" s="277"/>
      <c r="G46" s="280"/>
      <c r="H46" s="280"/>
      <c r="I46" s="277"/>
      <c r="J46" s="78">
        <f>SUM(K46:R46)</f>
        <v>0</v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82"/>
      <c r="W46" s="87">
        <f>J46*100/ССМП</f>
        <v>0</v>
      </c>
    </row>
    <row r="47" spans="1:23" s="59" customFormat="1" ht="12.75" customHeight="1">
      <c r="A47" s="75"/>
      <c r="B47" s="123"/>
      <c r="C47" s="123"/>
      <c r="D47" s="88" t="s">
        <v>116</v>
      </c>
      <c r="E47" s="89"/>
      <c r="F47" s="58"/>
      <c r="G47" s="83">
        <f>G12+G19+G23+G26+G29+G33+G41+G43</f>
        <v>442677.80000000005</v>
      </c>
      <c r="H47" s="83">
        <f t="shared" ref="H47:U47" si="7">H12+H19+H23+H26+H29+H33+H41+H43</f>
        <v>10406.4</v>
      </c>
      <c r="I47" s="130">
        <f t="shared" si="7"/>
        <v>8</v>
      </c>
      <c r="J47" s="83">
        <f>J12+J19+J23+J26+J29+J33+J41+J43</f>
        <v>4486964.07</v>
      </c>
      <c r="K47" s="83">
        <f t="shared" si="7"/>
        <v>47077</v>
      </c>
      <c r="L47" s="83">
        <f t="shared" si="7"/>
        <v>11016.1</v>
      </c>
      <c r="M47" s="83">
        <f t="shared" si="7"/>
        <v>0</v>
      </c>
      <c r="N47" s="83">
        <f t="shared" si="7"/>
        <v>65.900000000000006</v>
      </c>
      <c r="O47" s="83">
        <f t="shared" si="7"/>
        <v>27518.5</v>
      </c>
      <c r="P47" s="83">
        <f t="shared" si="7"/>
        <v>13379.699999999999</v>
      </c>
      <c r="Q47" s="83">
        <f t="shared" si="7"/>
        <v>11403.9</v>
      </c>
      <c r="R47" s="83">
        <f t="shared" si="7"/>
        <v>3960009.2700000005</v>
      </c>
      <c r="S47" s="83">
        <f t="shared" si="7"/>
        <v>1591291.5</v>
      </c>
      <c r="T47" s="83">
        <f t="shared" si="7"/>
        <v>3232317.97</v>
      </c>
      <c r="U47" s="83">
        <f t="shared" si="7"/>
        <v>3194400.27</v>
      </c>
      <c r="V47" s="82">
        <f t="shared" ref="V47:V57" si="8">U47*100/T47</f>
        <v>98.826919246437868</v>
      </c>
      <c r="W47" s="125">
        <f>W48+W49+W50+W51+W52+W53+W54+W55+W56</f>
        <v>90.717694781986538</v>
      </c>
    </row>
    <row r="48" spans="1:23">
      <c r="A48" s="67"/>
      <c r="B48" s="73"/>
      <c r="C48" s="47"/>
      <c r="D48" s="55" t="str">
        <f>D14</f>
        <v>Пирог С.А.</v>
      </c>
      <c r="E48" s="72"/>
      <c r="F48" s="72"/>
      <c r="G48" s="84"/>
      <c r="H48" s="84"/>
      <c r="I48" s="84"/>
      <c r="J48" s="84">
        <f t="shared" ref="J48" si="9">J14+J25+J27+J40+J44</f>
        <v>259697.75</v>
      </c>
      <c r="K48" s="84">
        <f t="shared" ref="K48:U48" si="10">K14+K25+K27+K40+K44</f>
        <v>23327</v>
      </c>
      <c r="L48" s="84">
        <f t="shared" si="10"/>
        <v>1910.8</v>
      </c>
      <c r="M48" s="84">
        <f t="shared" si="10"/>
        <v>0</v>
      </c>
      <c r="N48" s="84">
        <f t="shared" si="10"/>
        <v>65.900000000000006</v>
      </c>
      <c r="O48" s="84">
        <f t="shared" si="10"/>
        <v>310.3</v>
      </c>
      <c r="P48" s="84">
        <f t="shared" si="10"/>
        <v>20.9</v>
      </c>
      <c r="Q48" s="84">
        <f t="shared" si="10"/>
        <v>16.399999999999999</v>
      </c>
      <c r="R48" s="84">
        <f t="shared" si="10"/>
        <v>234046.45</v>
      </c>
      <c r="S48" s="84">
        <f t="shared" si="10"/>
        <v>15</v>
      </c>
      <c r="T48" s="84">
        <f t="shared" si="10"/>
        <v>226091.6</v>
      </c>
      <c r="U48" s="84">
        <f t="shared" si="10"/>
        <v>226076.79999999999</v>
      </c>
      <c r="V48" s="85">
        <f t="shared" si="8"/>
        <v>99.993453980599014</v>
      </c>
      <c r="W48" s="87">
        <f>J48*100/J$47</f>
        <v>5.7878277148762631</v>
      </c>
    </row>
    <row r="49" spans="1:23">
      <c r="A49" s="67"/>
      <c r="B49" s="73"/>
      <c r="C49" s="74"/>
      <c r="D49" s="55" t="str">
        <f>D13</f>
        <v>Захарчук В.И.</v>
      </c>
      <c r="E49" s="72"/>
      <c r="F49" s="72"/>
      <c r="G49" s="84"/>
      <c r="H49" s="84"/>
      <c r="I49" s="84"/>
      <c r="J49" s="84">
        <f t="shared" ref="J49" si="11">J13+J24+J31+J39</f>
        <v>1413299.1</v>
      </c>
      <c r="K49" s="84">
        <f t="shared" ref="K49:U49" si="12">K13+K24+K31+K39</f>
        <v>23300</v>
      </c>
      <c r="L49" s="84">
        <f t="shared" si="12"/>
        <v>677.9</v>
      </c>
      <c r="M49" s="84">
        <f t="shared" si="12"/>
        <v>0</v>
      </c>
      <c r="N49" s="84">
        <f t="shared" si="12"/>
        <v>0</v>
      </c>
      <c r="O49" s="84">
        <f t="shared" si="12"/>
        <v>803.5</v>
      </c>
      <c r="P49" s="84">
        <f t="shared" si="12"/>
        <v>7.5</v>
      </c>
      <c r="Q49" s="84">
        <f t="shared" si="12"/>
        <v>5734.4</v>
      </c>
      <c r="R49" s="84">
        <f t="shared" si="12"/>
        <v>1382775.8</v>
      </c>
      <c r="S49" s="84">
        <f t="shared" si="12"/>
        <v>1381675</v>
      </c>
      <c r="T49" s="84">
        <f t="shared" si="12"/>
        <v>967807.5</v>
      </c>
      <c r="U49" s="84">
        <f t="shared" si="12"/>
        <v>962528.1</v>
      </c>
      <c r="V49" s="85">
        <f t="shared" si="8"/>
        <v>99.45449895769562</v>
      </c>
      <c r="W49" s="87">
        <f t="shared" ref="W49:W56" si="13">J49*100/J$47</f>
        <v>31.497892070261216</v>
      </c>
    </row>
    <row r="50" spans="1:23">
      <c r="A50" s="67"/>
      <c r="B50" s="55"/>
      <c r="C50" s="74"/>
      <c r="D50" s="55" t="s">
        <v>60</v>
      </c>
      <c r="E50" s="72"/>
      <c r="F50" s="72"/>
      <c r="G50" s="84"/>
      <c r="H50" s="84"/>
      <c r="I50" s="84"/>
      <c r="J50" s="84">
        <f t="shared" ref="J50" si="14">J20+J38</f>
        <v>34618.699999999997</v>
      </c>
      <c r="K50" s="84">
        <f t="shared" ref="K50:U50" si="15">K20+K38</f>
        <v>374.6</v>
      </c>
      <c r="L50" s="84">
        <f t="shared" si="15"/>
        <v>44.4</v>
      </c>
      <c r="M50" s="84">
        <f t="shared" si="15"/>
        <v>0</v>
      </c>
      <c r="N50" s="84">
        <f t="shared" si="15"/>
        <v>0</v>
      </c>
      <c r="O50" s="84">
        <f t="shared" si="15"/>
        <v>16.2</v>
      </c>
      <c r="P50" s="84">
        <f t="shared" si="15"/>
        <v>0</v>
      </c>
      <c r="Q50" s="84">
        <f t="shared" si="15"/>
        <v>749.09999999999991</v>
      </c>
      <c r="R50" s="84">
        <f t="shared" si="15"/>
        <v>33434.400000000001</v>
      </c>
      <c r="S50" s="84">
        <f t="shared" si="15"/>
        <v>2156.5</v>
      </c>
      <c r="T50" s="84">
        <f t="shared" si="15"/>
        <v>30918.7</v>
      </c>
      <c r="U50" s="84">
        <f t="shared" si="15"/>
        <v>30918.7</v>
      </c>
      <c r="V50" s="85">
        <f t="shared" si="8"/>
        <v>100</v>
      </c>
      <c r="W50" s="87">
        <f t="shared" si="13"/>
        <v>0.77153949663786792</v>
      </c>
    </row>
    <row r="51" spans="1:23">
      <c r="A51" s="67"/>
      <c r="B51" s="55"/>
      <c r="D51" s="55" t="s">
        <v>61</v>
      </c>
      <c r="E51" s="72"/>
      <c r="F51" s="72"/>
      <c r="G51" s="84"/>
      <c r="H51" s="84"/>
      <c r="I51" s="84"/>
      <c r="J51" s="84">
        <f>J21+J34+J45+J36</f>
        <v>63575.9</v>
      </c>
      <c r="K51" s="84">
        <f t="shared" ref="K51:U51" si="16">K21+K34+K45+K36</f>
        <v>0</v>
      </c>
      <c r="L51" s="84">
        <f t="shared" si="16"/>
        <v>0</v>
      </c>
      <c r="M51" s="84">
        <f t="shared" si="16"/>
        <v>0</v>
      </c>
      <c r="N51" s="84">
        <f t="shared" si="16"/>
        <v>0</v>
      </c>
      <c r="O51" s="84">
        <f t="shared" si="16"/>
        <v>0</v>
      </c>
      <c r="P51" s="84">
        <f t="shared" si="16"/>
        <v>0</v>
      </c>
      <c r="Q51" s="84">
        <f t="shared" si="16"/>
        <v>4397.6000000000004</v>
      </c>
      <c r="R51" s="84">
        <f t="shared" si="16"/>
        <v>59178.3</v>
      </c>
      <c r="S51" s="84">
        <f t="shared" si="16"/>
        <v>1931.9</v>
      </c>
      <c r="T51" s="84">
        <f t="shared" si="16"/>
        <v>5706.2000000000007</v>
      </c>
      <c r="U51" s="84">
        <f t="shared" si="16"/>
        <v>5706.2000000000007</v>
      </c>
      <c r="V51" s="85">
        <f t="shared" si="8"/>
        <v>100.00000000000001</v>
      </c>
      <c r="W51" s="87">
        <f t="shared" si="13"/>
        <v>1.4169023644532994</v>
      </c>
    </row>
    <row r="52" spans="1:23">
      <c r="A52" s="67"/>
      <c r="B52" s="55"/>
      <c r="C52" s="74"/>
      <c r="D52" s="55" t="str">
        <f>D15</f>
        <v>Резникова А.Л.</v>
      </c>
      <c r="E52" s="72"/>
      <c r="F52" s="72"/>
      <c r="G52" s="84"/>
      <c r="H52" s="84"/>
      <c r="I52" s="84"/>
      <c r="J52" s="84">
        <f>J15+J35+J37</f>
        <v>1828316.97</v>
      </c>
      <c r="K52" s="84">
        <f t="shared" ref="K52:U52" si="17">K15+K35+K37</f>
        <v>75.400000000000006</v>
      </c>
      <c r="L52" s="84">
        <f t="shared" si="17"/>
        <v>0</v>
      </c>
      <c r="M52" s="84">
        <f t="shared" si="17"/>
        <v>0</v>
      </c>
      <c r="N52" s="84">
        <f t="shared" si="17"/>
        <v>0</v>
      </c>
      <c r="O52" s="84">
        <f t="shared" si="17"/>
        <v>7331.8</v>
      </c>
      <c r="P52" s="84">
        <f t="shared" si="17"/>
        <v>0</v>
      </c>
      <c r="Q52" s="84">
        <f t="shared" si="17"/>
        <v>0</v>
      </c>
      <c r="R52" s="84">
        <f t="shared" si="17"/>
        <v>1820909.77</v>
      </c>
      <c r="S52" s="84">
        <f t="shared" si="17"/>
        <v>107.3</v>
      </c>
      <c r="T52" s="84">
        <f t="shared" si="17"/>
        <v>1755846.37</v>
      </c>
      <c r="U52" s="84">
        <f t="shared" si="17"/>
        <v>1726065.3699999999</v>
      </c>
      <c r="V52" s="85">
        <f t="shared" si="8"/>
        <v>98.303894890302956</v>
      </c>
      <c r="W52" s="87">
        <f t="shared" si="13"/>
        <v>40.747305783529484</v>
      </c>
    </row>
    <row r="53" spans="1:23">
      <c r="A53" s="67"/>
      <c r="B53" s="55"/>
      <c r="D53" s="55" t="str">
        <f>D17</f>
        <v>Алексейченко В.В.</v>
      </c>
      <c r="E53" s="72"/>
      <c r="F53" s="72"/>
      <c r="G53" s="84"/>
      <c r="H53" s="84"/>
      <c r="I53" s="84"/>
      <c r="J53" s="84">
        <f>J17</f>
        <v>8</v>
      </c>
      <c r="K53" s="84">
        <f t="shared" ref="K53:U53" si="18">K17</f>
        <v>0</v>
      </c>
      <c r="L53" s="84">
        <f t="shared" si="18"/>
        <v>0</v>
      </c>
      <c r="M53" s="84">
        <f t="shared" si="18"/>
        <v>0</v>
      </c>
      <c r="N53" s="84">
        <f t="shared" si="18"/>
        <v>0</v>
      </c>
      <c r="O53" s="84">
        <f t="shared" si="18"/>
        <v>8</v>
      </c>
      <c r="P53" s="84">
        <f t="shared" si="18"/>
        <v>0</v>
      </c>
      <c r="Q53" s="84">
        <f t="shared" si="18"/>
        <v>0</v>
      </c>
      <c r="R53" s="84">
        <f t="shared" si="18"/>
        <v>0</v>
      </c>
      <c r="S53" s="84">
        <f t="shared" si="18"/>
        <v>0</v>
      </c>
      <c r="T53" s="84">
        <f t="shared" si="18"/>
        <v>8</v>
      </c>
      <c r="U53" s="84">
        <f t="shared" si="18"/>
        <v>0</v>
      </c>
      <c r="V53" s="85">
        <f t="shared" si="8"/>
        <v>0</v>
      </c>
      <c r="W53" s="126">
        <f t="shared" si="13"/>
        <v>1.7829427370475912E-4</v>
      </c>
    </row>
    <row r="54" spans="1:23">
      <c r="A54" s="67"/>
      <c r="B54" s="55"/>
      <c r="C54" s="74"/>
      <c r="D54" s="55" t="s">
        <v>78</v>
      </c>
      <c r="E54" s="72"/>
      <c r="F54" s="72"/>
      <c r="G54" s="84"/>
      <c r="H54" s="84"/>
      <c r="I54" s="84"/>
      <c r="J54" s="84">
        <f>J22+J32</f>
        <v>24173.699999999997</v>
      </c>
      <c r="K54" s="84">
        <f t="shared" ref="K54:U54" si="19">K22+K32</f>
        <v>0</v>
      </c>
      <c r="L54" s="84">
        <f t="shared" si="19"/>
        <v>1798.5</v>
      </c>
      <c r="M54" s="84">
        <f t="shared" si="19"/>
        <v>0</v>
      </c>
      <c r="N54" s="84">
        <f t="shared" si="19"/>
        <v>0</v>
      </c>
      <c r="O54" s="84">
        <f t="shared" si="19"/>
        <v>0</v>
      </c>
      <c r="P54" s="84">
        <f t="shared" si="19"/>
        <v>13351.3</v>
      </c>
      <c r="Q54" s="84">
        <f t="shared" si="19"/>
        <v>483.6</v>
      </c>
      <c r="R54" s="84">
        <f t="shared" si="19"/>
        <v>8540.2999999999993</v>
      </c>
      <c r="S54" s="84">
        <f t="shared" si="19"/>
        <v>0</v>
      </c>
      <c r="T54" s="84">
        <f t="shared" si="19"/>
        <v>22150.1</v>
      </c>
      <c r="U54" s="84">
        <f t="shared" si="19"/>
        <v>19315.599999999999</v>
      </c>
      <c r="V54" s="85">
        <f t="shared" si="8"/>
        <v>87.203218044162327</v>
      </c>
      <c r="W54" s="87">
        <f t="shared" si="13"/>
        <v>0.53875403553209178</v>
      </c>
    </row>
    <row r="55" spans="1:23">
      <c r="A55" s="92"/>
      <c r="B55" s="55"/>
      <c r="C55" s="74"/>
      <c r="D55" s="55" t="str">
        <f>D16</f>
        <v>Ульянич В.А.</v>
      </c>
      <c r="E55" s="72"/>
      <c r="F55" s="72"/>
      <c r="G55" s="84"/>
      <c r="H55" s="84"/>
      <c r="I55" s="84"/>
      <c r="J55" s="84">
        <f t="shared" ref="J55" si="20">J16+J30+J46</f>
        <v>215763.3</v>
      </c>
      <c r="K55" s="84">
        <f t="shared" ref="K55:U55" si="21">K16+K30+K46</f>
        <v>0</v>
      </c>
      <c r="L55" s="84">
        <f t="shared" si="21"/>
        <v>6584.5</v>
      </c>
      <c r="M55" s="84">
        <f t="shared" si="21"/>
        <v>0</v>
      </c>
      <c r="N55" s="84">
        <f t="shared" si="21"/>
        <v>0</v>
      </c>
      <c r="O55" s="84">
        <f t="shared" si="21"/>
        <v>3750.2</v>
      </c>
      <c r="P55" s="84">
        <f t="shared" si="21"/>
        <v>0</v>
      </c>
      <c r="Q55" s="84">
        <f t="shared" si="21"/>
        <v>22.8</v>
      </c>
      <c r="R55" s="84">
        <f t="shared" si="21"/>
        <v>205405.8</v>
      </c>
      <c r="S55" s="84">
        <f t="shared" si="21"/>
        <v>205405.8</v>
      </c>
      <c r="T55" s="84">
        <f t="shared" si="21"/>
        <v>504.5</v>
      </c>
      <c r="U55" s="84">
        <f t="shared" si="21"/>
        <v>504.5</v>
      </c>
      <c r="V55" s="85">
        <f t="shared" si="8"/>
        <v>100</v>
      </c>
      <c r="W55" s="87">
        <f t="shared" si="13"/>
        <v>4.8086701082052565</v>
      </c>
    </row>
    <row r="56" spans="1:23">
      <c r="A56" s="92"/>
      <c r="B56" s="55"/>
      <c r="C56" s="74"/>
      <c r="D56" s="55" t="str">
        <f>D18</f>
        <v>Хорошевский А.Л.</v>
      </c>
      <c r="E56" s="72"/>
      <c r="F56" s="72"/>
      <c r="G56" s="84"/>
      <c r="H56" s="84"/>
      <c r="I56" s="84"/>
      <c r="J56" s="84">
        <f t="shared" ref="J56" si="22">J18+J28+J42</f>
        <v>231016.95</v>
      </c>
      <c r="K56" s="84">
        <f t="shared" ref="K56:U56" si="23">K18+K28+K42</f>
        <v>0</v>
      </c>
      <c r="L56" s="84">
        <f t="shared" si="23"/>
        <v>0</v>
      </c>
      <c r="M56" s="84">
        <f t="shared" si="23"/>
        <v>0</v>
      </c>
      <c r="N56" s="84">
        <f t="shared" si="23"/>
        <v>0</v>
      </c>
      <c r="O56" s="84">
        <f t="shared" si="23"/>
        <v>0</v>
      </c>
      <c r="P56" s="84">
        <f t="shared" si="23"/>
        <v>0</v>
      </c>
      <c r="Q56" s="84">
        <f t="shared" si="23"/>
        <v>0</v>
      </c>
      <c r="R56" s="84">
        <f t="shared" si="23"/>
        <v>231016.95</v>
      </c>
      <c r="S56" s="84">
        <f t="shared" si="23"/>
        <v>0</v>
      </c>
      <c r="T56" s="84">
        <f t="shared" si="23"/>
        <v>223285</v>
      </c>
      <c r="U56" s="84">
        <f t="shared" si="23"/>
        <v>223285</v>
      </c>
      <c r="V56" s="85">
        <f t="shared" si="8"/>
        <v>100</v>
      </c>
      <c r="W56" s="87">
        <f t="shared" si="13"/>
        <v>5.148624914217331</v>
      </c>
    </row>
    <row r="57" spans="1:23">
      <c r="A57" s="67"/>
      <c r="B57" s="55"/>
      <c r="C57" s="74"/>
      <c r="D57" s="55"/>
      <c r="E57" s="72"/>
      <c r="F57" s="72"/>
      <c r="G57" s="84"/>
      <c r="H57" s="84"/>
      <c r="I57" s="84"/>
      <c r="J57" s="84">
        <f>SUM(J48:J56)</f>
        <v>4070470.37</v>
      </c>
      <c r="K57" s="84">
        <f t="shared" ref="K57:U57" si="24">SUM(K48:K56)</f>
        <v>47077</v>
      </c>
      <c r="L57" s="84">
        <f t="shared" si="24"/>
        <v>11016.1</v>
      </c>
      <c r="M57" s="84">
        <f t="shared" si="24"/>
        <v>0</v>
      </c>
      <c r="N57" s="84">
        <f t="shared" si="24"/>
        <v>65.900000000000006</v>
      </c>
      <c r="O57" s="84">
        <f t="shared" si="24"/>
        <v>12220</v>
      </c>
      <c r="P57" s="84">
        <f t="shared" si="24"/>
        <v>13379.699999999999</v>
      </c>
      <c r="Q57" s="84">
        <f t="shared" si="24"/>
        <v>11403.9</v>
      </c>
      <c r="R57" s="84">
        <f t="shared" si="24"/>
        <v>3975307.7699999996</v>
      </c>
      <c r="S57" s="84">
        <f t="shared" si="24"/>
        <v>1591291.5</v>
      </c>
      <c r="T57" s="84">
        <f t="shared" si="24"/>
        <v>3232317.97</v>
      </c>
      <c r="U57" s="84">
        <f t="shared" si="24"/>
        <v>3194400.27</v>
      </c>
      <c r="V57" s="85">
        <f t="shared" si="8"/>
        <v>98.826919246437868</v>
      </c>
      <c r="W57" s="87"/>
    </row>
    <row r="58" spans="1:23">
      <c r="J58" s="46">
        <f>J47-J57</f>
        <v>416493.70000000019</v>
      </c>
      <c r="T58" s="69"/>
      <c r="V58" s="45"/>
    </row>
    <row r="59" spans="1:23">
      <c r="R59" s="69">
        <f>R47-R57</f>
        <v>-15298.499999999069</v>
      </c>
      <c r="V59" s="45"/>
    </row>
    <row r="60" spans="1:23">
      <c r="V60" s="45"/>
    </row>
    <row r="61" spans="1:23">
      <c r="V61" s="45"/>
    </row>
    <row r="62" spans="1:23">
      <c r="V62" s="45"/>
    </row>
    <row r="63" spans="1:23">
      <c r="L63" s="46"/>
      <c r="M63" s="46"/>
      <c r="N63" s="46"/>
      <c r="O63" s="46"/>
      <c r="P63" s="46"/>
      <c r="Q63" s="46"/>
      <c r="R63" s="46"/>
    </row>
    <row r="65" spans="19:19">
      <c r="S65" s="64"/>
    </row>
  </sheetData>
  <customSheetViews>
    <customSheetView guid="{BEC093EF-36E8-44C9-B149-04F53FD388A3}" scale="90" showPageBreaks="1" zeroValues="0" fitToPage="1" showAutoFilter="1" topLeftCell="A4">
      <pane xSplit="4" ySplit="8" topLeftCell="R27" activePane="bottomRight" state="frozen"/>
      <selection pane="bottomRight" activeCell="T33" sqref="T33:U33"/>
      <pageMargins left="0.15748031496062992" right="0.15748031496062992" top="0.55000000000000004" bottom="0.39370078740157483" header="0.51181102362204722" footer="0.51181102362204722"/>
      <pageSetup paperSize="9" scale="44" orientation="landscape" r:id="rId1"/>
      <headerFooter alignWithMargins="0"/>
      <autoFilter ref="A11:W57"/>
    </customSheetView>
    <customSheetView guid="{96D40A43-B422-454D-9193-41896328F0D9}" scale="95" zeroValues="0" topLeftCell="J32">
      <selection activeCell="T35" sqref="T35"/>
      <pageMargins left="0.16" right="0.16" top="0.98425196850393704" bottom="0.39370078740157483" header="0.51181102362204722" footer="0.51181102362204722"/>
      <pageSetup paperSize="9" scale="45" orientation="landscape" r:id="rId2"/>
      <headerFooter alignWithMargins="0"/>
    </customSheetView>
    <customSheetView guid="{389735FE-414E-4CFC-9E6A-1AAFE3243A62}" scale="95" showPageBreaks="1" zeroValues="0" topLeftCell="A4">
      <pane xSplit="4" ySplit="8" topLeftCell="J12" activePane="bottomRight" state="frozen"/>
      <selection pane="bottomRight" activeCell="J8" sqref="J8:S8"/>
      <pageMargins left="0.16" right="0.16" top="0.98425196850393704" bottom="0.39370078740157483" header="0.51181102362204722" footer="0.51181102362204722"/>
      <pageSetup paperSize="9" scale="45" orientation="landscape" r:id="rId3"/>
      <headerFooter alignWithMargins="0"/>
    </customSheetView>
    <customSheetView guid="{A8ABFFD1-522C-4CFD-BCF6-18D62DEFABFD}" scale="95" showPageBreaks="1" zeroValues="0" topLeftCell="A4">
      <pane xSplit="4" ySplit="8" topLeftCell="S12" activePane="bottomRight" state="frozen"/>
      <selection pane="bottomRight" activeCell="U19" sqref="U19"/>
      <pageMargins left="0.16" right="0.16" top="0.98425196850393704" bottom="0.39370078740157483" header="0.51181102362204722" footer="0.51181102362204722"/>
      <pageSetup paperSize="9" scale="45" orientation="landscape" r:id="rId4"/>
      <headerFooter alignWithMargins="0"/>
    </customSheetView>
    <customSheetView guid="{9527BC31-5AA4-4529-989B-DC3C25372E22}" scale="95" showPageBreaks="1" zeroValues="0" topLeftCell="A4">
      <pane xSplit="4" ySplit="8" topLeftCell="S12" activePane="bottomRight" state="frozen"/>
      <selection pane="bottomRight" activeCell="W31" sqref="W31"/>
      <pageMargins left="0.16" right="0.16" top="0.98425196850393704" bottom="0.39370078740157483" header="0.51181102362204722" footer="0.51181102362204722"/>
      <pageSetup paperSize="9" scale="45" orientation="landscape" r:id="rId5"/>
      <headerFooter alignWithMargins="0"/>
    </customSheetView>
    <customSheetView guid="{7FBBF0F2-A261-44C7-B144-E52BBCB2C578}" scale="95" showPageBreaks="1" zeroValues="0" topLeftCell="A4">
      <pane xSplit="4" ySplit="8" topLeftCell="O12" activePane="bottomRight" state="frozen"/>
      <selection pane="bottomRight" activeCell="U20" sqref="U20"/>
      <pageMargins left="0.16" right="0.16" top="0.98425196850393704" bottom="0.39370078740157483" header="0.51181102362204722" footer="0.51181102362204722"/>
      <pageSetup paperSize="9" scale="45" orientation="landscape" r:id="rId6"/>
      <headerFooter alignWithMargins="0"/>
    </customSheetView>
  </customSheetViews>
  <mergeCells count="96">
    <mergeCell ref="I29:I32"/>
    <mergeCell ref="A33:A40"/>
    <mergeCell ref="E33:E40"/>
    <mergeCell ref="F33:F40"/>
    <mergeCell ref="G33:G40"/>
    <mergeCell ref="H33:H40"/>
    <mergeCell ref="A29:A32"/>
    <mergeCell ref="E29:E32"/>
    <mergeCell ref="F29:F32"/>
    <mergeCell ref="B29:B32"/>
    <mergeCell ref="C29:C32"/>
    <mergeCell ref="B33:B40"/>
    <mergeCell ref="C38:C39"/>
    <mergeCell ref="C34:C35"/>
    <mergeCell ref="G29:G32"/>
    <mergeCell ref="H29:H32"/>
    <mergeCell ref="G41:G42"/>
    <mergeCell ref="H41:H42"/>
    <mergeCell ref="I41:I42"/>
    <mergeCell ref="A43:A46"/>
    <mergeCell ref="B43:B46"/>
    <mergeCell ref="C43:C46"/>
    <mergeCell ref="E43:E46"/>
    <mergeCell ref="F43:F46"/>
    <mergeCell ref="G43:G46"/>
    <mergeCell ref="H43:H46"/>
    <mergeCell ref="I43:I46"/>
    <mergeCell ref="A41:A42"/>
    <mergeCell ref="B41:B42"/>
    <mergeCell ref="C41:C42"/>
    <mergeCell ref="E41:E42"/>
    <mergeCell ref="F41:F42"/>
    <mergeCell ref="B26:B28"/>
    <mergeCell ref="A26:A28"/>
    <mergeCell ref="C26:C28"/>
    <mergeCell ref="C12:C18"/>
    <mergeCell ref="A23:A25"/>
    <mergeCell ref="B23:B25"/>
    <mergeCell ref="C23:C25"/>
    <mergeCell ref="A19:A22"/>
    <mergeCell ref="B19:B22"/>
    <mergeCell ref="C19:C22"/>
    <mergeCell ref="W8:W10"/>
    <mergeCell ref="V9:V10"/>
    <mergeCell ref="U8:V8"/>
    <mergeCell ref="B12:B18"/>
    <mergeCell ref="A12:A18"/>
    <mergeCell ref="I8:I10"/>
    <mergeCell ref="J8:S8"/>
    <mergeCell ref="T8:T10"/>
    <mergeCell ref="J9:J10"/>
    <mergeCell ref="K9:K10"/>
    <mergeCell ref="G12:G18"/>
    <mergeCell ref="H12:H18"/>
    <mergeCell ref="I12:I18"/>
    <mergeCell ref="M9:M10"/>
    <mergeCell ref="N9:N10"/>
    <mergeCell ref="P9:P10"/>
    <mergeCell ref="E26:E28"/>
    <mergeCell ref="F26:F28"/>
    <mergeCell ref="G26:G28"/>
    <mergeCell ref="E23:E25"/>
    <mergeCell ref="L9:L10"/>
    <mergeCell ref="G23:G25"/>
    <mergeCell ref="H23:H25"/>
    <mergeCell ref="I23:I25"/>
    <mergeCell ref="F23:F25"/>
    <mergeCell ref="E19:E22"/>
    <mergeCell ref="E12:E18"/>
    <mergeCell ref="F12:F18"/>
    <mergeCell ref="F19:F22"/>
    <mergeCell ref="H26:H28"/>
    <mergeCell ref="I26:I28"/>
    <mergeCell ref="G19:G22"/>
    <mergeCell ref="H19:H22"/>
    <mergeCell ref="I19:I22"/>
    <mergeCell ref="A5:U5"/>
    <mergeCell ref="A6:U6"/>
    <mergeCell ref="R7:U7"/>
    <mergeCell ref="A8:A10"/>
    <mergeCell ref="B8:B10"/>
    <mergeCell ref="C8:C10"/>
    <mergeCell ref="E8:E10"/>
    <mergeCell ref="F8:F10"/>
    <mergeCell ref="G8:G10"/>
    <mergeCell ref="H8:H10"/>
    <mergeCell ref="Q9:Q10"/>
    <mergeCell ref="R9:S9"/>
    <mergeCell ref="U9:U10"/>
    <mergeCell ref="D8:D10"/>
    <mergeCell ref="O9:O10"/>
    <mergeCell ref="A4:U4"/>
    <mergeCell ref="T1:V1"/>
    <mergeCell ref="T2:V2"/>
    <mergeCell ref="L3:R3"/>
    <mergeCell ref="T3:V3"/>
  </mergeCells>
  <pageMargins left="0.16" right="0.16" top="0.98425196850393704" bottom="0.39370078740157483" header="0.51181102362204722" footer="0.51181102362204722"/>
  <pageSetup paperSize="9" scale="45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2011 (в печать )</vt:lpstr>
      <vt:lpstr>2011</vt:lpstr>
      <vt:lpstr>восст. по проверкам прошлых лет</vt:lpstr>
      <vt:lpstr>по участникам</vt:lpstr>
      <vt:lpstr>Лист2</vt:lpstr>
      <vt:lpstr>'восст. по проверкам прошлых лет'!Область_печати</vt:lpstr>
      <vt:lpstr>ССМП</vt:lpstr>
    </vt:vector>
  </TitlesOfParts>
  <Company>КРУ МФ РФ в Амурской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Алексейченко</dc:creator>
  <cp:lastModifiedBy>Ульянич</cp:lastModifiedBy>
  <cp:lastPrinted>2012-01-12T07:30:50Z</cp:lastPrinted>
  <dcterms:created xsi:type="dcterms:W3CDTF">2003-01-21T00:14:57Z</dcterms:created>
  <dcterms:modified xsi:type="dcterms:W3CDTF">2012-09-27T00:46:37Z</dcterms:modified>
</cp:coreProperties>
</file>